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C9301B06-3983-43FF-8E20-0B38E0460F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ièces neuves" sheetId="2" r:id="rId1"/>
    <sheet name="Consommabl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2" l="1"/>
  <c r="F38" i="2"/>
  <c r="I6" i="2"/>
  <c r="F57" i="3"/>
  <c r="E52" i="3"/>
  <c r="F52" i="3" s="1"/>
  <c r="G52" i="3" s="1"/>
  <c r="F54" i="3"/>
  <c r="K6" i="2"/>
  <c r="E46" i="2"/>
  <c r="E26" i="2"/>
  <c r="F26" i="2" s="1"/>
  <c r="E18" i="2"/>
  <c r="E57" i="3"/>
  <c r="E58" i="3"/>
  <c r="E31" i="3"/>
  <c r="E30" i="3"/>
  <c r="F29" i="3" s="1"/>
  <c r="E33" i="3"/>
  <c r="E62" i="3"/>
  <c r="E32" i="3"/>
  <c r="F52" i="2"/>
  <c r="E22" i="2"/>
  <c r="F21" i="2" s="1"/>
  <c r="E20" i="2"/>
  <c r="E38" i="2"/>
  <c r="E49" i="2"/>
  <c r="F49" i="2" s="1"/>
  <c r="E46" i="3"/>
  <c r="E40" i="3"/>
  <c r="E49" i="3"/>
  <c r="E44" i="3"/>
  <c r="N6" i="3"/>
  <c r="E48" i="3"/>
  <c r="E41" i="3"/>
  <c r="E33" i="2"/>
  <c r="E34" i="2"/>
  <c r="E43" i="2"/>
  <c r="E34" i="3"/>
  <c r="E59" i="3"/>
  <c r="E45" i="3"/>
  <c r="E37" i="3"/>
  <c r="E36" i="3"/>
  <c r="E61" i="3"/>
  <c r="E54" i="3"/>
  <c r="E21" i="3"/>
  <c r="E42" i="2"/>
  <c r="E65" i="3"/>
  <c r="E66" i="3"/>
  <c r="E5" i="3"/>
  <c r="E7" i="3"/>
  <c r="E8" i="3"/>
  <c r="E9" i="3"/>
  <c r="E11" i="3"/>
  <c r="E12" i="3"/>
  <c r="E13" i="3"/>
  <c r="E14" i="3"/>
  <c r="E15" i="3"/>
  <c r="E17" i="3"/>
  <c r="E20" i="3"/>
  <c r="E26" i="3"/>
  <c r="E27" i="3"/>
  <c r="E9" i="2"/>
  <c r="F5" i="2" s="1"/>
  <c r="E58" i="2"/>
  <c r="G53" i="2" s="1"/>
  <c r="E64" i="3"/>
  <c r="K16" i="3"/>
  <c r="F14" i="2" l="1"/>
  <c r="F40" i="2"/>
  <c r="F35" i="3"/>
  <c r="F48" i="3"/>
  <c r="F28" i="2"/>
  <c r="G5" i="2" s="1"/>
  <c r="G62" i="2" s="1"/>
  <c r="F24" i="3"/>
  <c r="F5" i="3"/>
  <c r="G59" i="3"/>
  <c r="F31" i="3"/>
  <c r="F9" i="3"/>
  <c r="F14" i="3"/>
  <c r="G5" i="3" l="1"/>
  <c r="G29" i="3"/>
  <c r="G69" i="3" l="1"/>
  <c r="G65" i="2" s="1"/>
</calcChain>
</file>

<file path=xl/sharedStrings.xml><?xml version="1.0" encoding="utf-8"?>
<sst xmlns="http://schemas.openxmlformats.org/spreadsheetml/2006/main" count="163" uniqueCount="148">
  <si>
    <t>Rondelle Inox (pont arrière)</t>
  </si>
  <si>
    <t>Brosse métallique perceuse</t>
  </si>
  <si>
    <t>Brosse métallique dremel</t>
  </si>
  <si>
    <t>Peinture appret bombe x2</t>
  </si>
  <si>
    <t>Peinture barre d torsion (S-C + verre + rouge)</t>
  </si>
  <si>
    <t>Peinture noir antirouille 500ml x2</t>
  </si>
  <si>
    <t>HT</t>
  </si>
  <si>
    <t>TVA</t>
  </si>
  <si>
    <t>TTC</t>
  </si>
  <si>
    <t>Pochette moteur billancourt</t>
  </si>
  <si>
    <t>Cylindre roue x2 + 4 flexibles + MC + 4 raccords</t>
  </si>
  <si>
    <t>Peinture etrier</t>
  </si>
  <si>
    <t>Graisseurs + goupilles</t>
  </si>
  <si>
    <t>Graisse croisillons</t>
  </si>
  <si>
    <t>Planchers</t>
  </si>
  <si>
    <t>Courroies</t>
  </si>
  <si>
    <t>Roulements 123roulements</t>
  </si>
  <si>
    <t>Cache rotule</t>
  </si>
  <si>
    <t>Raccords spéciaux pour cylindres de roue arrière</t>
  </si>
  <si>
    <t>Cale pompe à essence</t>
  </si>
  <si>
    <t>Support de bras interne arrière x2</t>
  </si>
  <si>
    <t>support de bras externes x2</t>
  </si>
  <si>
    <t>Mastic alu (pour chassis)</t>
  </si>
  <si>
    <t>Bobine 0,5kg MIG x3</t>
  </si>
  <si>
    <t>Recharge gaz MIG</t>
  </si>
  <si>
    <t>Plaque metal 10/10 100cmx50cm</t>
  </si>
  <si>
    <t>WD 40 400 ml x2</t>
  </si>
  <si>
    <t>Peinture noir a chassis + antigravillon</t>
  </si>
  <si>
    <t>Rustol CIP 500ml x5</t>
  </si>
  <si>
    <t>Brosse métallique disqueuse x3</t>
  </si>
  <si>
    <t>Rondelles neuves</t>
  </si>
  <si>
    <t>Caoutchouc echappement</t>
  </si>
  <si>
    <t>Lime pour lime électrique</t>
  </si>
  <si>
    <t>Peinture noir en bombe x2</t>
  </si>
  <si>
    <t>Plat acier pour Y sinpar</t>
  </si>
  <si>
    <t>Désignation</t>
  </si>
  <si>
    <t>Prix</t>
  </si>
  <si>
    <t>Kit Sinpar (avec une 4L autour)</t>
  </si>
  <si>
    <t>Rustol Owatrol 500ml</t>
  </si>
  <si>
    <t>Plaque goudron insonorisant</t>
  </si>
  <si>
    <t>Restauration : chassis + train + réservoir + kit Sinpar</t>
  </si>
  <si>
    <t>Disque meulage disqueuse x3</t>
  </si>
  <si>
    <t>Kit traitement réservoir Restom</t>
  </si>
  <si>
    <t>Disque de découpe disqueuse x2</t>
  </si>
  <si>
    <t>Peinture antirouille Mat pour retouche (250ml)</t>
  </si>
  <si>
    <t>Trains roulants</t>
  </si>
  <si>
    <t>Freinage</t>
  </si>
  <si>
    <t>Moteur</t>
  </si>
  <si>
    <t>Divers</t>
  </si>
  <si>
    <t>Sous-total</t>
  </si>
  <si>
    <t>Pièces 4L "classique"</t>
  </si>
  <si>
    <t>Pièces spécifiques Sinpar</t>
  </si>
  <si>
    <t>Total avec Consommables :</t>
  </si>
  <si>
    <t>Peinture et traitement</t>
  </si>
  <si>
    <t>Soudure</t>
  </si>
  <si>
    <t>Décapage - préparation</t>
  </si>
  <si>
    <t>Direction</t>
  </si>
  <si>
    <t>Consommables
divers</t>
  </si>
  <si>
    <t>Peinture cuivre (1/2 bombe)</t>
  </si>
  <si>
    <t>20 cm de zinc (solution électrozingage)</t>
  </si>
  <si>
    <t>* Comptabilisé mais pas encore consommé</t>
  </si>
  <si>
    <t>Joints poignées *</t>
  </si>
  <si>
    <t>Calcul prix TTC</t>
  </si>
  <si>
    <t>Carrosserie 4L (4L F4 1973 complète)</t>
  </si>
  <si>
    <t>Châssis
- Carrosserie</t>
  </si>
  <si>
    <t>Silent-blocs pont et transmission sinpar</t>
  </si>
  <si>
    <t>Croissillons transmissions</t>
  </si>
  <si>
    <t>Raccords tuyau cuivre + joint cuivre</t>
  </si>
  <si>
    <t>Amortisseurs x4</t>
  </si>
  <si>
    <t>Silent-blocs tirant de chasse x2</t>
  </si>
  <si>
    <t>Rotules Suspension sup x2</t>
  </si>
  <si>
    <t>Rotules Suspension inf x2</t>
  </si>
  <si>
    <t>Machoires frein 229mm x2</t>
  </si>
  <si>
    <t>Cardan x 1</t>
  </si>
  <si>
    <t>soufflet cardan x1</t>
  </si>
  <si>
    <t>Feuille de joint x2 (0,20 et 0,50 mm)</t>
  </si>
  <si>
    <t>Consommable - Restauration Renault 4L Sinpar 1968</t>
  </si>
  <si>
    <t>Pièces neuves - Restauration Renault 4L Sinpar 1968</t>
  </si>
  <si>
    <t>Clip canalisation cuivre</t>
  </si>
  <si>
    <t>Pompe à essence + clip plastique canalisation</t>
  </si>
  <si>
    <t>Restauration Pièces</t>
  </si>
  <si>
    <t>Tole acier (20x100x0,75 + 25x50x0,75)</t>
  </si>
  <si>
    <t>Rustol CIP 2,5 L</t>
  </si>
  <si>
    <t>Papier de verre (utilisations diverses)</t>
  </si>
  <si>
    <t>joint polyuréthane noir 310ml</t>
  </si>
  <si>
    <t>Brosse Métallique pour perceuse/disqueuse</t>
  </si>
  <si>
    <t>Disque abrasive à lamelles pour meuleuse</t>
  </si>
  <si>
    <t>Outils dremel (utilisations diverses)</t>
  </si>
  <si>
    <t>Antigravillon à pistoler 1L (2 noir + 2 gris)</t>
  </si>
  <si>
    <t>Peinture noire Hammerite 1L + diluant</t>
  </si>
  <si>
    <t>Peinture noire Hammerite 1,5L + diluant</t>
  </si>
  <si>
    <t>Adhesif peinture</t>
  </si>
  <si>
    <t>Bobine fil acier 6mm (MIG) 700g + 5kg</t>
  </si>
  <si>
    <t>Disque découpe x2</t>
  </si>
  <si>
    <t>White Spirit 10L</t>
  </si>
  <si>
    <t>Acide chlorhydrique</t>
  </si>
  <si>
    <t>Peinture cuivre + zinc (3,5 bombes)</t>
  </si>
  <si>
    <t>Appret garnissant (5L)</t>
  </si>
  <si>
    <t>Cire corps creux 1L</t>
  </si>
  <si>
    <t>Mastics + temoin de ponçage</t>
  </si>
  <si>
    <t>Peinture noire mat Syntilor 750ml</t>
  </si>
  <si>
    <t>Support moteur (gauche)</t>
  </si>
  <si>
    <t>Jauge à essence courte</t>
  </si>
  <si>
    <t>Ailes avant</t>
  </si>
  <si>
    <t>Peinture Noir Satiné en bombe x2</t>
  </si>
  <si>
    <t>Peinture Gris anthracite en bombe x1 (réservoir)</t>
  </si>
  <si>
    <t>Baches plastiques (15x3m)</t>
  </si>
  <si>
    <t>Peinture Gris ardoise Syntilor 250ml (réservoir)</t>
  </si>
  <si>
    <t>Abrasif P500 (ponçage appret)</t>
  </si>
  <si>
    <t>Appret en bombe (400ml) x6</t>
  </si>
  <si>
    <t>Coffret passe cables caoutchouc</t>
  </si>
  <si>
    <t>Essence F 1L</t>
  </si>
  <si>
    <t>Peinture Blanc Brillant en bombe x2 (joues d'aile)</t>
  </si>
  <si>
    <t>Silent-blocs triangle avant (jeu complet)</t>
  </si>
  <si>
    <t>Refroidissement</t>
  </si>
  <si>
    <t>Durites refroidissement (radiateur chauffage)</t>
  </si>
  <si>
    <t>Contact feux stop</t>
  </si>
  <si>
    <t>Electricité</t>
  </si>
  <si>
    <t>Cabochon clignotant</t>
  </si>
  <si>
    <t>Kit freins arrière 160x26</t>
  </si>
  <si>
    <t>Transmisson / BdV</t>
  </si>
  <si>
    <t>Scotch isolant faisceaau élec</t>
  </si>
  <si>
    <t>Kit embrayage diam 160</t>
  </si>
  <si>
    <t>Pochette de joint BdV 334 + joint spi arbre 1aire</t>
  </si>
  <si>
    <t>Joint polyuréthane 310ml noir (7 cartouches)</t>
  </si>
  <si>
    <t>Joint polyuréthane 310ml blanc (1 cartouche)</t>
  </si>
  <si>
    <t>Quincaillerie (rondelles, écrous, vis, rivets,…)</t>
  </si>
  <si>
    <t>Bandes pour lime électrique</t>
  </si>
  <si>
    <t>Acetone 5L x6</t>
  </si>
  <si>
    <t>Peinture Luxens noir satiné 0,5L</t>
  </si>
  <si>
    <t>Rustol Owatrol 1L</t>
  </si>
  <si>
    <t>Disque de découp Dremel</t>
  </si>
  <si>
    <t>Durites essence</t>
  </si>
  <si>
    <t>"Restauration
carrosserie"</t>
  </si>
  <si>
    <t>Disque diam 150 P240 (finition portes avant appret)</t>
  </si>
  <si>
    <t>Kit barre stabilisatrice diamètre 16mm</t>
  </si>
  <si>
    <t>Rustol CIP 2x2,5 L + 0,75L</t>
  </si>
  <si>
    <t>Billes BdV (baladeur 1/2 + fourchette 4eme)</t>
  </si>
  <si>
    <t>Flexibles avant</t>
  </si>
  <si>
    <t>Support calandre</t>
  </si>
  <si>
    <t>Soufflet + rotutules + flector + biellettes</t>
  </si>
  <si>
    <t>joint torique + roulement</t>
  </si>
  <si>
    <t>Roulements tendeur de courroie</t>
  </si>
  <si>
    <t>Roulement Dynamo</t>
  </si>
  <si>
    <t>Plots caoucthouc siège rabattable</t>
  </si>
  <si>
    <t>Peinture bordeaux (bombe)</t>
  </si>
  <si>
    <t>Equipage mobile (piston, chemise, coussinet)</t>
  </si>
  <si>
    <t>Pompe à eau + calorstat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</si>
</sst>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6"/>
      <color indexed="10"/>
      <name val="Calibri"/>
      <family val="2"/>
    </font>
    <font>
      <b/>
      <sz val="12"/>
      <color indexed="8"/>
      <name val="Calibri"/>
      <family val="2"/>
    </font>
    <font>
      <b/>
      <i/>
      <sz val="20"/>
      <color indexed="8"/>
      <name val="Calibri"/>
      <family val="2"/>
    </font>
    <font>
      <b/>
      <sz val="14"/>
      <color indexed="2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lightTrellis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3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0" fillId="0" borderId="0" xfId="0" applyNumberFormat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6" borderId="4" xfId="0" applyFill="1" applyBorder="1"/>
    <xf numFmtId="0" fontId="0" fillId="6" borderId="5" xfId="0" applyFill="1" applyBorder="1"/>
    <xf numFmtId="0" fontId="0" fillId="7" borderId="6" xfId="0" applyFill="1" applyBorder="1"/>
    <xf numFmtId="0" fontId="2" fillId="3" borderId="7" xfId="0" applyFont="1" applyFill="1" applyBorder="1" applyAlignment="1">
      <alignment horizontal="center"/>
    </xf>
    <xf numFmtId="2" fontId="0" fillId="0" borderId="8" xfId="0" applyNumberFormat="1" applyBorder="1"/>
    <xf numFmtId="0" fontId="0" fillId="0" borderId="5" xfId="0" applyBorder="1"/>
    <xf numFmtId="164" fontId="0" fillId="0" borderId="9" xfId="0" applyNumberFormat="1" applyBorder="1"/>
    <xf numFmtId="0" fontId="0" fillId="0" borderId="6" xfId="0" applyBorder="1"/>
    <xf numFmtId="164" fontId="0" fillId="0" borderId="10" xfId="0" applyNumberFormat="1" applyBorder="1"/>
    <xf numFmtId="0" fontId="0" fillId="0" borderId="0" xfId="0" applyAlignment="1">
      <alignment horizontal="center"/>
    </xf>
    <xf numFmtId="0" fontId="0" fillId="7" borderId="5" xfId="0" applyFill="1" applyBorder="1"/>
    <xf numFmtId="0" fontId="2" fillId="3" borderId="11" xfId="0" applyFont="1" applyFill="1" applyBorder="1" applyAlignment="1">
      <alignment horizontal="center"/>
    </xf>
    <xf numFmtId="0" fontId="0" fillId="7" borderId="12" xfId="0" applyFill="1" applyBorder="1"/>
    <xf numFmtId="164" fontId="0" fillId="0" borderId="13" xfId="0" applyNumberFormat="1" applyBorder="1"/>
    <xf numFmtId="164" fontId="0" fillId="0" borderId="0" xfId="0" applyNumberFormat="1"/>
    <xf numFmtId="164" fontId="0" fillId="9" borderId="14" xfId="0" applyNumberFormat="1" applyFill="1" applyBorder="1" applyAlignment="1">
      <alignment vertical="center"/>
    </xf>
    <xf numFmtId="164" fontId="0" fillId="9" borderId="8" xfId="0" applyNumberFormat="1" applyFill="1" applyBorder="1" applyAlignment="1">
      <alignment vertical="center"/>
    </xf>
    <xf numFmtId="164" fontId="0" fillId="9" borderId="15" xfId="0" applyNumberFormat="1" applyFill="1" applyBorder="1" applyAlignment="1">
      <alignment vertical="center"/>
    </xf>
    <xf numFmtId="0" fontId="0" fillId="8" borderId="4" xfId="0" applyFill="1" applyBorder="1"/>
    <xf numFmtId="0" fontId="0" fillId="8" borderId="5" xfId="0" applyFill="1" applyBorder="1"/>
    <xf numFmtId="164" fontId="0" fillId="8" borderId="16" xfId="0" applyNumberFormat="1" applyFill="1" applyBorder="1" applyAlignment="1">
      <alignment horizontal="right" vertical="center"/>
    </xf>
    <xf numFmtId="164" fontId="0" fillId="8" borderId="9" xfId="0" applyNumberFormat="1" applyFill="1" applyBorder="1" applyAlignment="1">
      <alignment horizontal="right" vertical="center"/>
    </xf>
    <xf numFmtId="164" fontId="0" fillId="5" borderId="16" xfId="0" applyNumberFormat="1" applyFill="1" applyBorder="1" applyAlignment="1">
      <alignment horizontal="right" vertical="center"/>
    </xf>
    <xf numFmtId="164" fontId="0" fillId="5" borderId="9" xfId="0" applyNumberFormat="1" applyFill="1" applyBorder="1" applyAlignment="1">
      <alignment horizontal="right" vertical="center"/>
    </xf>
    <xf numFmtId="0" fontId="0" fillId="7" borderId="4" xfId="0" applyFill="1" applyBorder="1"/>
    <xf numFmtId="164" fontId="0" fillId="7" borderId="16" xfId="0" applyNumberFormat="1" applyFill="1" applyBorder="1" applyAlignment="1">
      <alignment horizontal="right" vertical="center"/>
    </xf>
    <xf numFmtId="164" fontId="0" fillId="7" borderId="10" xfId="0" applyNumberFormat="1" applyFill="1" applyBorder="1" applyAlignment="1">
      <alignment horizontal="right" vertical="center"/>
    </xf>
    <xf numFmtId="164" fontId="0" fillId="6" borderId="16" xfId="0" applyNumberFormat="1" applyFill="1" applyBorder="1" applyAlignment="1">
      <alignment horizontal="right" vertical="center"/>
    </xf>
    <xf numFmtId="164" fontId="0" fillId="6" borderId="9" xfId="0" applyNumberFormat="1" applyFill="1" applyBorder="1" applyAlignment="1">
      <alignment horizontal="right" vertical="center"/>
    </xf>
    <xf numFmtId="0" fontId="0" fillId="11" borderId="4" xfId="0" applyFill="1" applyBorder="1"/>
    <xf numFmtId="164" fontId="0" fillId="11" borderId="16" xfId="0" applyNumberFormat="1" applyFill="1" applyBorder="1" applyAlignment="1">
      <alignment horizontal="right" vertical="center"/>
    </xf>
    <xf numFmtId="0" fontId="0" fillId="11" borderId="5" xfId="0" applyFill="1" applyBorder="1"/>
    <xf numFmtId="164" fontId="0" fillId="11" borderId="9" xfId="0" applyNumberFormat="1" applyFill="1" applyBorder="1" applyAlignment="1">
      <alignment horizontal="right" vertical="center"/>
    </xf>
    <xf numFmtId="0" fontId="0" fillId="6" borderId="17" xfId="0" applyFill="1" applyBorder="1"/>
    <xf numFmtId="0" fontId="0" fillId="0" borderId="12" xfId="0" applyBorder="1"/>
    <xf numFmtId="164" fontId="0" fillId="6" borderId="16" xfId="0" applyNumberFormat="1" applyFill="1" applyBorder="1"/>
    <xf numFmtId="164" fontId="0" fillId="6" borderId="9" xfId="0" applyNumberFormat="1" applyFill="1" applyBorder="1"/>
    <xf numFmtId="164" fontId="0" fillId="6" borderId="18" xfId="0" applyNumberFormat="1" applyFill="1" applyBorder="1"/>
    <xf numFmtId="164" fontId="0" fillId="7" borderId="13" xfId="0" applyNumberFormat="1" applyFill="1" applyBorder="1"/>
    <xf numFmtId="164" fontId="0" fillId="7" borderId="9" xfId="0" applyNumberFormat="1" applyFill="1" applyBorder="1"/>
    <xf numFmtId="164" fontId="0" fillId="7" borderId="10" xfId="0" applyNumberFormat="1" applyFill="1" applyBorder="1"/>
    <xf numFmtId="164" fontId="0" fillId="5" borderId="16" xfId="0" applyNumberFormat="1" applyFill="1" applyBorder="1"/>
    <xf numFmtId="164" fontId="0" fillId="5" borderId="9" xfId="0" applyNumberFormat="1" applyFill="1" applyBorder="1"/>
    <xf numFmtId="164" fontId="0" fillId="5" borderId="10" xfId="0" applyNumberFormat="1" applyFill="1" applyBorder="1"/>
    <xf numFmtId="164" fontId="0" fillId="8" borderId="19" xfId="0" applyNumberFormat="1" applyFill="1" applyBorder="1"/>
    <xf numFmtId="164" fontId="0" fillId="8" borderId="20" xfId="0" applyNumberFormat="1" applyFill="1" applyBorder="1"/>
    <xf numFmtId="164" fontId="0" fillId="8" borderId="21" xfId="0" applyNumberFormat="1" applyFill="1" applyBorder="1"/>
    <xf numFmtId="0" fontId="0" fillId="0" borderId="17" xfId="0" applyBorder="1"/>
    <xf numFmtId="164" fontId="0" fillId="0" borderId="18" xfId="0" applyNumberFormat="1" applyBorder="1"/>
    <xf numFmtId="0" fontId="2" fillId="9" borderId="22" xfId="0" applyFont="1" applyFill="1" applyBorder="1" applyAlignment="1">
      <alignment vertical="center" textRotation="90"/>
    </xf>
    <xf numFmtId="0" fontId="2" fillId="9" borderId="23" xfId="0" applyFont="1" applyFill="1" applyBorder="1" applyAlignment="1">
      <alignment vertical="center" textRotation="90"/>
    </xf>
    <xf numFmtId="0" fontId="2" fillId="9" borderId="24" xfId="0" applyFont="1" applyFill="1" applyBorder="1" applyAlignment="1">
      <alignment vertical="center" textRotation="90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64" fontId="6" fillId="7" borderId="1" xfId="0" applyNumberFormat="1" applyFont="1" applyFill="1" applyBorder="1"/>
    <xf numFmtId="164" fontId="9" fillId="0" borderId="26" xfId="0" applyNumberFormat="1" applyFont="1" applyBorder="1" applyAlignment="1">
      <alignment horizontal="center" vertical="center"/>
    </xf>
    <xf numFmtId="0" fontId="4" fillId="0" borderId="0" xfId="0" quotePrefix="1" applyFont="1"/>
    <xf numFmtId="0" fontId="2" fillId="5" borderId="20" xfId="0" applyFont="1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17" xfId="0" applyFill="1" applyBorder="1"/>
    <xf numFmtId="0" fontId="0" fillId="8" borderId="17" xfId="0" applyFill="1" applyBorder="1"/>
    <xf numFmtId="0" fontId="10" fillId="0" borderId="5" xfId="0" applyFont="1" applyBorder="1"/>
    <xf numFmtId="164" fontId="10" fillId="0" borderId="9" xfId="0" applyNumberFormat="1" applyFont="1" applyBorder="1"/>
    <xf numFmtId="0" fontId="10" fillId="0" borderId="17" xfId="0" applyFont="1" applyBorder="1"/>
    <xf numFmtId="164" fontId="10" fillId="0" borderId="18" xfId="0" applyNumberFormat="1" applyFont="1" applyBorder="1"/>
    <xf numFmtId="0" fontId="10" fillId="0" borderId="6" xfId="0" applyFont="1" applyBorder="1"/>
    <xf numFmtId="164" fontId="10" fillId="0" borderId="10" xfId="0" applyNumberFormat="1" applyFont="1" applyBorder="1"/>
    <xf numFmtId="0" fontId="0" fillId="0" borderId="0" xfId="0" quotePrefix="1"/>
    <xf numFmtId="0" fontId="7" fillId="9" borderId="8" xfId="0" applyFont="1" applyFill="1" applyBorder="1" applyAlignment="1">
      <alignment horizontal="center" vertical="center" textRotation="90" wrapText="1"/>
    </xf>
    <xf numFmtId="0" fontId="0" fillId="6" borderId="6" xfId="0" applyFill="1" applyBorder="1"/>
    <xf numFmtId="164" fontId="0" fillId="6" borderId="10" xfId="0" applyNumberFormat="1" applyFill="1" applyBorder="1" applyAlignment="1">
      <alignment horizontal="right" vertical="center"/>
    </xf>
    <xf numFmtId="164" fontId="0" fillId="8" borderId="18" xfId="0" applyNumberFormat="1" applyFill="1" applyBorder="1" applyAlignment="1">
      <alignment horizontal="right" vertical="center"/>
    </xf>
    <xf numFmtId="164" fontId="0" fillId="13" borderId="9" xfId="0" applyNumberFormat="1" applyFill="1" applyBorder="1" applyAlignment="1">
      <alignment horizontal="right" vertical="center"/>
    </xf>
    <xf numFmtId="164" fontId="0" fillId="13" borderId="18" xfId="0" applyNumberFormat="1" applyFill="1" applyBorder="1" applyAlignment="1">
      <alignment horizontal="right" vertical="center"/>
    </xf>
    <xf numFmtId="164" fontId="0" fillId="7" borderId="9" xfId="0" applyNumberFormat="1" applyFill="1" applyBorder="1" applyAlignment="1">
      <alignment horizontal="right" vertical="center"/>
    </xf>
    <xf numFmtId="0" fontId="0" fillId="10" borderId="12" xfId="0" applyFill="1" applyBorder="1"/>
    <xf numFmtId="164" fontId="0" fillId="10" borderId="13" xfId="0" applyNumberFormat="1" applyFill="1" applyBorder="1" applyAlignment="1">
      <alignment horizontal="right" vertical="center"/>
    </xf>
    <xf numFmtId="0" fontId="0" fillId="10" borderId="17" xfId="0" applyFill="1" applyBorder="1"/>
    <xf numFmtId="164" fontId="0" fillId="10" borderId="18" xfId="0" applyNumberFormat="1" applyFill="1" applyBorder="1" applyAlignment="1">
      <alignment horizontal="right" vertical="center"/>
    </xf>
    <xf numFmtId="0" fontId="0" fillId="11" borderId="17" xfId="0" applyFill="1" applyBorder="1"/>
    <xf numFmtId="164" fontId="0" fillId="11" borderId="18" xfId="0" applyNumberFormat="1" applyFill="1" applyBorder="1" applyAlignment="1">
      <alignment horizontal="right" vertical="center"/>
    </xf>
    <xf numFmtId="0" fontId="0" fillId="15" borderId="4" xfId="0" applyFill="1" applyBorder="1"/>
    <xf numFmtId="164" fontId="0" fillId="15" borderId="16" xfId="0" applyNumberFormat="1" applyFill="1" applyBorder="1" applyAlignment="1">
      <alignment horizontal="right" vertical="center"/>
    </xf>
    <xf numFmtId="0" fontId="0" fillId="15" borderId="5" xfId="0" applyFill="1" applyBorder="1"/>
    <xf numFmtId="164" fontId="0" fillId="15" borderId="9" xfId="0" applyNumberFormat="1" applyFill="1" applyBorder="1" applyAlignment="1">
      <alignment horizontal="right" vertical="center"/>
    </xf>
    <xf numFmtId="0" fontId="0" fillId="15" borderId="6" xfId="0" applyFill="1" applyBorder="1"/>
    <xf numFmtId="164" fontId="0" fillId="15" borderId="10" xfId="0" applyNumberFormat="1" applyFill="1" applyBorder="1" applyAlignment="1">
      <alignment horizontal="right" vertical="center"/>
    </xf>
    <xf numFmtId="164" fontId="0" fillId="4" borderId="26" xfId="0" applyNumberForma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0" fillId="4" borderId="2" xfId="0" applyFont="1" applyFill="1" applyBorder="1"/>
    <xf numFmtId="164" fontId="10" fillId="4" borderId="36" xfId="0" applyNumberFormat="1" applyFont="1" applyFill="1" applyBorder="1"/>
    <xf numFmtId="0" fontId="0" fillId="8" borderId="38" xfId="0" applyFill="1" applyBorder="1"/>
    <xf numFmtId="0" fontId="0" fillId="8" borderId="27" xfId="0" applyFill="1" applyBorder="1"/>
    <xf numFmtId="0" fontId="0" fillId="8" borderId="37" xfId="0" applyFill="1" applyBorder="1"/>
    <xf numFmtId="0" fontId="10" fillId="17" borderId="4" xfId="0" applyFont="1" applyFill="1" applyBorder="1"/>
    <xf numFmtId="164" fontId="10" fillId="17" borderId="19" xfId="0" applyNumberFormat="1" applyFont="1" applyFill="1" applyBorder="1"/>
    <xf numFmtId="0" fontId="10" fillId="17" borderId="6" xfId="0" applyFont="1" applyFill="1" applyBorder="1"/>
    <xf numFmtId="164" fontId="10" fillId="17" borderId="39" xfId="0" applyNumberFormat="1" applyFont="1" applyFill="1" applyBorder="1"/>
    <xf numFmtId="0" fontId="10" fillId="17" borderId="5" xfId="0" applyFont="1" applyFill="1" applyBorder="1"/>
    <xf numFmtId="164" fontId="10" fillId="17" borderId="20" xfId="0" applyNumberFormat="1" applyFont="1" applyFill="1" applyBorder="1"/>
    <xf numFmtId="0" fontId="10" fillId="18" borderId="4" xfId="0" applyFont="1" applyFill="1" applyBorder="1"/>
    <xf numFmtId="164" fontId="10" fillId="18" borderId="16" xfId="0" applyNumberFormat="1" applyFont="1" applyFill="1" applyBorder="1"/>
    <xf numFmtId="0" fontId="10" fillId="18" borderId="29" xfId="0" applyFont="1" applyFill="1" applyBorder="1"/>
    <xf numFmtId="164" fontId="10" fillId="18" borderId="30" xfId="0" applyNumberFormat="1" applyFont="1" applyFill="1" applyBorder="1"/>
    <xf numFmtId="0" fontId="10" fillId="18" borderId="12" xfId="0" applyFont="1" applyFill="1" applyBorder="1"/>
    <xf numFmtId="164" fontId="10" fillId="18" borderId="13" xfId="0" applyNumberFormat="1" applyFont="1" applyFill="1" applyBorder="1"/>
    <xf numFmtId="0" fontId="10" fillId="18" borderId="5" xfId="0" applyFont="1" applyFill="1" applyBorder="1"/>
    <xf numFmtId="164" fontId="10" fillId="18" borderId="9" xfId="0" applyNumberFormat="1" applyFont="1" applyFill="1" applyBorder="1"/>
    <xf numFmtId="0" fontId="10" fillId="18" borderId="17" xfId="0" applyFont="1" applyFill="1" applyBorder="1"/>
    <xf numFmtId="164" fontId="10" fillId="18" borderId="18" xfId="0" applyNumberFormat="1" applyFont="1" applyFill="1" applyBorder="1"/>
    <xf numFmtId="0" fontId="6" fillId="7" borderId="20" xfId="0" applyFont="1" applyFill="1" applyBorder="1" applyAlignment="1">
      <alignment horizontal="right"/>
    </xf>
    <xf numFmtId="0" fontId="6" fillId="7" borderId="28" xfId="0" applyFont="1" applyFill="1" applyBorder="1" applyAlignment="1">
      <alignment horizontal="right"/>
    </xf>
    <xf numFmtId="0" fontId="6" fillId="7" borderId="27" xfId="0" applyFont="1" applyFill="1" applyBorder="1" applyAlignment="1">
      <alignment horizontal="right"/>
    </xf>
    <xf numFmtId="0" fontId="8" fillId="12" borderId="0" xfId="0" applyFont="1" applyFill="1" applyAlignment="1">
      <alignment horizontal="center"/>
    </xf>
    <xf numFmtId="164" fontId="0" fillId="5" borderId="31" xfId="0" applyNumberFormat="1" applyFill="1" applyBorder="1" applyAlignment="1">
      <alignment horizontal="center" vertical="center"/>
    </xf>
    <xf numFmtId="164" fontId="0" fillId="5" borderId="35" xfId="0" applyNumberFormat="1" applyFill="1" applyBorder="1" applyAlignment="1">
      <alignment horizontal="center" vertical="center"/>
    </xf>
    <xf numFmtId="164" fontId="0" fillId="5" borderId="32" xfId="0" applyNumberFormat="1" applyFill="1" applyBorder="1" applyAlignment="1">
      <alignment horizontal="center" vertical="center"/>
    </xf>
    <xf numFmtId="164" fontId="0" fillId="8" borderId="31" xfId="0" applyNumberFormat="1" applyFill="1" applyBorder="1" applyAlignment="1">
      <alignment horizontal="center" vertical="center"/>
    </xf>
    <xf numFmtId="164" fontId="0" fillId="8" borderId="35" xfId="0" applyNumberFormat="1" applyFill="1" applyBorder="1" applyAlignment="1">
      <alignment horizontal="center" vertical="center"/>
    </xf>
    <xf numFmtId="164" fontId="0" fillId="8" borderId="32" xfId="0" applyNumberFormat="1" applyFill="1" applyBorder="1" applyAlignment="1">
      <alignment horizontal="center" vertical="center"/>
    </xf>
    <xf numFmtId="164" fontId="0" fillId="16" borderId="33" xfId="0" applyNumberFormat="1" applyFill="1" applyBorder="1" applyAlignment="1">
      <alignment horizontal="center" vertical="center"/>
    </xf>
    <xf numFmtId="164" fontId="0" fillId="16" borderId="34" xfId="0" applyNumberForma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 textRotation="90"/>
    </xf>
    <xf numFmtId="0" fontId="7" fillId="8" borderId="35" xfId="0" applyFont="1" applyFill="1" applyBorder="1" applyAlignment="1">
      <alignment horizontal="center" vertical="center" textRotation="90"/>
    </xf>
    <xf numFmtId="0" fontId="7" fillId="8" borderId="8" xfId="0" applyFont="1" applyFill="1" applyBorder="1" applyAlignment="1">
      <alignment horizontal="center" vertical="center" textRotation="90"/>
    </xf>
    <xf numFmtId="0" fontId="1" fillId="8" borderId="31" xfId="0" applyFont="1" applyFill="1" applyBorder="1" applyAlignment="1">
      <alignment horizontal="center" vertical="center"/>
    </xf>
    <xf numFmtId="0" fontId="1" fillId="8" borderId="35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textRotation="90"/>
    </xf>
    <xf numFmtId="0" fontId="7" fillId="5" borderId="35" xfId="0" applyFont="1" applyFill="1" applyBorder="1" applyAlignment="1">
      <alignment horizontal="center" vertical="center" textRotation="90"/>
    </xf>
    <xf numFmtId="0" fontId="7" fillId="5" borderId="32" xfId="0" applyFont="1" applyFill="1" applyBorder="1" applyAlignment="1">
      <alignment horizontal="center" vertical="center" textRotation="90"/>
    </xf>
    <xf numFmtId="164" fontId="0" fillId="11" borderId="22" xfId="0" applyNumberFormat="1" applyFill="1" applyBorder="1" applyAlignment="1">
      <alignment horizontal="center" vertical="center"/>
    </xf>
    <xf numFmtId="164" fontId="0" fillId="11" borderId="23" xfId="0" applyNumberFormat="1" applyFill="1" applyBorder="1" applyAlignment="1">
      <alignment horizontal="center" vertical="center"/>
    </xf>
    <xf numFmtId="164" fontId="0" fillId="11" borderId="24" xfId="0" applyNumberForma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15" xfId="0" applyFont="1" applyFill="1" applyBorder="1" applyAlignment="1">
      <alignment horizontal="center" vertical="center"/>
    </xf>
    <xf numFmtId="164" fontId="0" fillId="15" borderId="31" xfId="0" applyNumberFormat="1" applyFill="1" applyBorder="1" applyAlignment="1">
      <alignment horizontal="center" vertical="center"/>
    </xf>
    <xf numFmtId="164" fontId="0" fillId="15" borderId="35" xfId="0" applyNumberFormat="1" applyFill="1" applyBorder="1" applyAlignment="1">
      <alignment horizontal="center" vertical="center"/>
    </xf>
    <xf numFmtId="164" fontId="0" fillId="15" borderId="32" xfId="0" applyNumberForma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4" fontId="0" fillId="5" borderId="22" xfId="0" applyNumberFormat="1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164" fontId="0" fillId="5" borderId="24" xfId="0" applyNumberForma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164" fontId="0" fillId="7" borderId="31" xfId="0" applyNumberFormat="1" applyFill="1" applyBorder="1" applyAlignment="1">
      <alignment horizontal="center" vertical="center"/>
    </xf>
    <xf numFmtId="164" fontId="0" fillId="7" borderId="35" xfId="0" applyNumberFormat="1" applyFill="1" applyBorder="1" applyAlignment="1">
      <alignment horizontal="center" vertical="center"/>
    </xf>
    <xf numFmtId="164" fontId="0" fillId="7" borderId="32" xfId="0" applyNumberFormat="1" applyFill="1" applyBorder="1" applyAlignment="1">
      <alignment horizontal="center" vertical="center"/>
    </xf>
    <xf numFmtId="164" fontId="0" fillId="6" borderId="22" xfId="0" applyNumberFormat="1" applyFill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 vertical="center"/>
    </xf>
    <xf numFmtId="164" fontId="0" fillId="6" borderId="24" xfId="0" applyNumberForma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 wrapText="1"/>
    </xf>
    <xf numFmtId="0" fontId="1" fillId="11" borderId="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164" fontId="0" fillId="10" borderId="31" xfId="0" applyNumberFormat="1" applyFill="1" applyBorder="1" applyAlignment="1">
      <alignment horizontal="center" vertical="center"/>
    </xf>
    <xf numFmtId="164" fontId="0" fillId="10" borderId="32" xfId="0" applyNumberForma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 textRotation="90" wrapText="1"/>
    </xf>
    <xf numFmtId="0" fontId="7" fillId="7" borderId="35" xfId="0" applyFont="1" applyFill="1" applyBorder="1" applyAlignment="1">
      <alignment horizontal="center" vertical="center" textRotation="90"/>
    </xf>
    <xf numFmtId="0" fontId="7" fillId="7" borderId="32" xfId="0" applyFont="1" applyFill="1" applyBorder="1" applyAlignment="1">
      <alignment horizontal="center" vertical="center" textRotation="90"/>
    </xf>
    <xf numFmtId="164" fontId="0" fillId="7" borderId="23" xfId="0" applyNumberForma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 textRotation="90" wrapText="1"/>
    </xf>
    <xf numFmtId="0" fontId="1" fillId="8" borderId="35" xfId="0" applyFont="1" applyFill="1" applyBorder="1" applyAlignment="1">
      <alignment horizontal="center" vertical="center" textRotation="90" wrapText="1"/>
    </xf>
    <xf numFmtId="0" fontId="1" fillId="8" borderId="32" xfId="0" applyFont="1" applyFill="1" applyBorder="1" applyAlignment="1">
      <alignment horizontal="center" vertical="center" textRotation="90" wrapText="1"/>
    </xf>
    <xf numFmtId="164" fontId="0" fillId="17" borderId="40" xfId="0" applyNumberFormat="1" applyFill="1" applyBorder="1" applyAlignment="1">
      <alignment horizontal="center" vertical="center"/>
    </xf>
    <xf numFmtId="164" fontId="0" fillId="17" borderId="42" xfId="0" applyNumberFormat="1" applyFill="1" applyBorder="1" applyAlignment="1">
      <alignment horizontal="center" vertical="center"/>
    </xf>
    <xf numFmtId="164" fontId="0" fillId="17" borderId="41" xfId="0" applyNumberForma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 textRotation="90" wrapText="1"/>
    </xf>
    <xf numFmtId="0" fontId="7" fillId="9" borderId="15" xfId="0" applyFont="1" applyFill="1" applyBorder="1" applyAlignment="1">
      <alignment horizontal="center" vertical="center" textRotation="90" wrapText="1"/>
    </xf>
    <xf numFmtId="164" fontId="0" fillId="6" borderId="31" xfId="0" applyNumberFormat="1" applyFill="1" applyBorder="1" applyAlignment="1">
      <alignment horizontal="center" vertical="center"/>
    </xf>
    <xf numFmtId="164" fontId="0" fillId="6" borderId="35" xfId="0" applyNumberFormat="1" applyFill="1" applyBorder="1" applyAlignment="1">
      <alignment horizontal="center" vertical="center"/>
    </xf>
    <xf numFmtId="164" fontId="0" fillId="18" borderId="31" xfId="0" applyNumberFormat="1" applyFill="1" applyBorder="1" applyAlignment="1">
      <alignment horizontal="center" vertical="center"/>
    </xf>
    <xf numFmtId="164" fontId="0" fillId="18" borderId="35" xfId="0" applyNumberFormat="1" applyFill="1" applyBorder="1" applyAlignment="1">
      <alignment horizontal="center" vertical="center"/>
    </xf>
    <xf numFmtId="164" fontId="0" fillId="18" borderId="32" xfId="0" applyNumberFormat="1" applyFill="1" applyBorder="1" applyAlignment="1">
      <alignment horizontal="center" vertical="center"/>
    </xf>
    <xf numFmtId="164" fontId="0" fillId="9" borderId="23" xfId="0" applyNumberFormat="1" applyFill="1" applyBorder="1" applyAlignment="1">
      <alignment horizontal="center"/>
    </xf>
    <xf numFmtId="164" fontId="0" fillId="9" borderId="24" xfId="0" applyNumberFormat="1" applyFill="1" applyBorder="1" applyAlignment="1">
      <alignment horizontal="center"/>
    </xf>
    <xf numFmtId="0" fontId="1" fillId="7" borderId="31" xfId="0" applyFont="1" applyFill="1" applyBorder="1" applyAlignment="1">
      <alignment horizontal="center" vertical="center" textRotation="90" wrapText="1"/>
    </xf>
    <xf numFmtId="0" fontId="1" fillId="7" borderId="35" xfId="0" applyFont="1" applyFill="1" applyBorder="1" applyAlignment="1">
      <alignment horizontal="center" vertical="center" textRotation="90" wrapText="1"/>
    </xf>
    <xf numFmtId="0" fontId="1" fillId="7" borderId="32" xfId="0" applyFont="1" applyFill="1" applyBorder="1" applyAlignment="1">
      <alignment horizontal="center" vertical="center" textRotation="90" wrapText="1"/>
    </xf>
    <xf numFmtId="164" fontId="0" fillId="8" borderId="22" xfId="0" applyNumberFormat="1" applyFill="1" applyBorder="1" applyAlignment="1">
      <alignment horizontal="center" vertical="center"/>
    </xf>
    <xf numFmtId="164" fontId="0" fillId="8" borderId="23" xfId="0" applyNumberFormat="1" applyFill="1" applyBorder="1" applyAlignment="1">
      <alignment horizontal="center" vertical="center"/>
    </xf>
    <xf numFmtId="164" fontId="0" fillId="18" borderId="22" xfId="0" applyNumberFormat="1" applyFill="1" applyBorder="1" applyAlignment="1">
      <alignment horizontal="center" vertical="center"/>
    </xf>
    <xf numFmtId="164" fontId="0" fillId="18" borderId="23" xfId="0" applyNumberForma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textRotation="90" wrapText="1"/>
    </xf>
    <xf numFmtId="0" fontId="7" fillId="8" borderId="14" xfId="0" applyFont="1" applyFill="1" applyBorder="1" applyAlignment="1">
      <alignment horizontal="center" vertical="center" textRotation="90" wrapText="1"/>
    </xf>
    <xf numFmtId="0" fontId="7" fillId="8" borderId="8" xfId="0" applyFont="1" applyFill="1" applyBorder="1" applyAlignment="1">
      <alignment horizontal="center" vertical="center" textRotation="90" wrapText="1"/>
    </xf>
    <xf numFmtId="0" fontId="7" fillId="9" borderId="14" xfId="0" applyFont="1" applyFill="1" applyBorder="1" applyAlignment="1">
      <alignment horizontal="center" vertical="center" textRotation="90" wrapText="1"/>
    </xf>
    <xf numFmtId="164" fontId="0" fillId="18" borderId="24" xfId="0" applyNumberFormat="1" applyFill="1" applyBorder="1" applyAlignment="1">
      <alignment horizontal="center" vertical="center"/>
    </xf>
    <xf numFmtId="0" fontId="7" fillId="17" borderId="31" xfId="0" applyFont="1" applyFill="1" applyBorder="1" applyAlignment="1">
      <alignment horizontal="center" vertical="center" textRotation="90" wrapText="1"/>
    </xf>
    <xf numFmtId="0" fontId="7" fillId="17" borderId="35" xfId="0" applyFont="1" applyFill="1" applyBorder="1" applyAlignment="1">
      <alignment horizontal="center" vertical="center" textRotation="90" wrapText="1"/>
    </xf>
    <xf numFmtId="0" fontId="7" fillId="17" borderId="32" xfId="0" applyFont="1" applyFill="1" applyBorder="1" applyAlignment="1">
      <alignment horizontal="center" vertical="center" textRotation="90" wrapText="1"/>
    </xf>
    <xf numFmtId="164" fontId="0" fillId="17" borderId="22" xfId="0" applyNumberFormat="1" applyFill="1" applyBorder="1" applyAlignment="1">
      <alignment horizontal="center" vertical="center"/>
    </xf>
    <xf numFmtId="164" fontId="0" fillId="17" borderId="23" xfId="0" applyNumberFormat="1" applyFill="1" applyBorder="1" applyAlignment="1">
      <alignment horizontal="center" vertical="center"/>
    </xf>
    <xf numFmtId="164" fontId="0" fillId="17" borderId="24" xfId="0" applyNumberFormat="1" applyFill="1" applyBorder="1" applyAlignment="1">
      <alignment horizontal="center" vertical="center"/>
    </xf>
    <xf numFmtId="0" fontId="7" fillId="18" borderId="31" xfId="0" applyFont="1" applyFill="1" applyBorder="1" applyAlignment="1">
      <alignment horizontal="center" vertical="center" textRotation="90" wrapText="1"/>
    </xf>
    <xf numFmtId="0" fontId="7" fillId="18" borderId="35" xfId="0" applyFont="1" applyFill="1" applyBorder="1" applyAlignment="1">
      <alignment horizontal="center" vertical="center" textRotation="90" wrapText="1"/>
    </xf>
    <xf numFmtId="0" fontId="7" fillId="18" borderId="32" xfId="0" applyFont="1" applyFill="1" applyBorder="1" applyAlignment="1">
      <alignment horizontal="center" vertical="center" textRotation="90" wrapText="1"/>
    </xf>
    <xf numFmtId="0" fontId="7" fillId="9" borderId="31" xfId="0" applyFont="1" applyFill="1" applyBorder="1" applyAlignment="1">
      <alignment horizontal="center" vertical="center" textRotation="90" wrapText="1"/>
    </xf>
    <xf numFmtId="0" fontId="7" fillId="9" borderId="35" xfId="0" applyFont="1" applyFill="1" applyBorder="1" applyAlignment="1">
      <alignment horizontal="center" vertical="center" textRotation="90" wrapText="1"/>
    </xf>
    <xf numFmtId="0" fontId="0" fillId="6" borderId="12" xfId="0" applyFill="1" applyBorder="1"/>
    <xf numFmtId="164" fontId="0" fillId="6" borderId="13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14" borderId="31" xfId="0" applyFont="1" applyFill="1" applyBorder="1" applyAlignment="1">
      <alignment horizontal="center" vertical="center"/>
    </xf>
    <xf numFmtId="0" fontId="1" fillId="14" borderId="32" xfId="0" applyFont="1" applyFill="1" applyBorder="1" applyAlignment="1">
      <alignment horizontal="center" vertical="center"/>
    </xf>
    <xf numFmtId="164" fontId="0" fillId="14" borderId="31" xfId="0" applyNumberFormat="1" applyFill="1" applyBorder="1" applyAlignment="1">
      <alignment horizontal="center" vertical="center"/>
    </xf>
    <xf numFmtId="164" fontId="0" fillId="14" borderId="32" xfId="0" applyNumberFormat="1" applyFill="1" applyBorder="1" applyAlignment="1">
      <alignment horizontal="center" vertical="center"/>
    </xf>
    <xf numFmtId="0" fontId="0" fillId="14" borderId="4" xfId="0" applyFill="1" applyBorder="1"/>
    <xf numFmtId="164" fontId="0" fillId="14" borderId="16" xfId="0" applyNumberFormat="1" applyFill="1" applyBorder="1" applyAlignment="1">
      <alignment horizontal="right" vertical="center"/>
    </xf>
    <xf numFmtId="0" fontId="0" fillId="14" borderId="6" xfId="0" applyFill="1" applyBorder="1"/>
    <xf numFmtId="164" fontId="0" fillId="14" borderId="10" xfId="0" applyNumberFormat="1" applyFill="1" applyBorder="1" applyAlignment="1">
      <alignment horizontal="righ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56" workbookViewId="0">
      <selection activeCell="G5" sqref="G5:G52"/>
    </sheetView>
  </sheetViews>
  <sheetFormatPr baseColWidth="10" defaultRowHeight="15" x14ac:dyDescent="0.25"/>
  <cols>
    <col min="1" max="1" width="5.7109375" customWidth="1"/>
    <col min="2" max="2" width="3.85546875" bestFit="1" customWidth="1"/>
    <col min="3" max="3" width="15.7109375" bestFit="1" customWidth="1"/>
    <col min="4" max="4" width="44.42578125" bestFit="1" customWidth="1"/>
    <col min="7" max="7" width="14.42578125" bestFit="1" customWidth="1"/>
  </cols>
  <sheetData>
    <row r="2" spans="2:11" ht="26.25" x14ac:dyDescent="0.4">
      <c r="B2" s="127" t="s">
        <v>77</v>
      </c>
      <c r="C2" s="127"/>
      <c r="D2" s="127"/>
      <c r="E2" s="127"/>
      <c r="F2" s="127"/>
      <c r="G2" s="127"/>
    </row>
    <row r="3" spans="2:11" ht="15.75" thickBot="1" x14ac:dyDescent="0.3"/>
    <row r="4" spans="2:11" ht="15.75" thickBot="1" x14ac:dyDescent="0.3">
      <c r="B4" s="6"/>
      <c r="C4" s="6"/>
      <c r="D4" s="7" t="s">
        <v>35</v>
      </c>
      <c r="E4" s="16" t="s">
        <v>36</v>
      </c>
      <c r="F4" s="66" t="s">
        <v>49</v>
      </c>
      <c r="G4" s="66" t="s">
        <v>49</v>
      </c>
      <c r="I4" s="70" t="s">
        <v>62</v>
      </c>
      <c r="J4" s="71"/>
      <c r="K4" s="72"/>
    </row>
    <row r="5" spans="2:11" x14ac:dyDescent="0.25">
      <c r="B5" s="136" t="s">
        <v>50</v>
      </c>
      <c r="C5" s="139" t="s">
        <v>45</v>
      </c>
      <c r="D5" s="31" t="s">
        <v>70</v>
      </c>
      <c r="E5" s="33">
        <v>26.93</v>
      </c>
      <c r="F5" s="131">
        <f>SUM(E5:E13)</f>
        <v>415.07</v>
      </c>
      <c r="G5" s="134">
        <f>SUM(F5:F52)</f>
        <v>2172.5466666666662</v>
      </c>
      <c r="I5" s="3" t="s">
        <v>6</v>
      </c>
      <c r="J5" s="3" t="s">
        <v>7</v>
      </c>
      <c r="K5" s="3" t="s">
        <v>8</v>
      </c>
    </row>
    <row r="6" spans="2:11" x14ac:dyDescent="0.25">
      <c r="B6" s="137"/>
      <c r="C6" s="140"/>
      <c r="D6" s="32" t="s">
        <v>71</v>
      </c>
      <c r="E6" s="34">
        <v>21.06</v>
      </c>
      <c r="F6" s="132"/>
      <c r="G6" s="135"/>
      <c r="I6" s="225">
        <f>39.92+8.25</f>
        <v>48.17</v>
      </c>
      <c r="J6" s="226">
        <v>0.2</v>
      </c>
      <c r="K6" s="227">
        <f>ROUND(I6+(I6*J6),2)</f>
        <v>57.8</v>
      </c>
    </row>
    <row r="7" spans="2:11" x14ac:dyDescent="0.25">
      <c r="B7" s="137"/>
      <c r="C7" s="140"/>
      <c r="D7" s="32" t="s">
        <v>17</v>
      </c>
      <c r="E7" s="34">
        <v>2.7</v>
      </c>
      <c r="F7" s="132"/>
      <c r="G7" s="135"/>
    </row>
    <row r="8" spans="2:11" x14ac:dyDescent="0.25">
      <c r="B8" s="137"/>
      <c r="C8" s="140"/>
      <c r="D8" s="32" t="s">
        <v>113</v>
      </c>
      <c r="E8" s="34">
        <v>30.86</v>
      </c>
      <c r="F8" s="132"/>
      <c r="G8" s="135"/>
    </row>
    <row r="9" spans="2:11" x14ac:dyDescent="0.25">
      <c r="B9" s="137"/>
      <c r="C9" s="140"/>
      <c r="D9" s="32" t="s">
        <v>20</v>
      </c>
      <c r="E9" s="34">
        <f>39.9*2</f>
        <v>79.8</v>
      </c>
      <c r="F9" s="132"/>
      <c r="G9" s="135"/>
    </row>
    <row r="10" spans="2:11" x14ac:dyDescent="0.25">
      <c r="B10" s="137"/>
      <c r="C10" s="140"/>
      <c r="D10" s="32" t="s">
        <v>21</v>
      </c>
      <c r="E10" s="34">
        <v>50.4</v>
      </c>
      <c r="F10" s="132"/>
      <c r="G10" s="135"/>
    </row>
    <row r="11" spans="2:11" x14ac:dyDescent="0.25">
      <c r="B11" s="137"/>
      <c r="C11" s="140"/>
      <c r="D11" s="32" t="s">
        <v>69</v>
      </c>
      <c r="E11" s="34">
        <v>11.54</v>
      </c>
      <c r="F11" s="132"/>
      <c r="G11" s="135"/>
    </row>
    <row r="12" spans="2:11" x14ac:dyDescent="0.25">
      <c r="B12" s="137"/>
      <c r="C12" s="140"/>
      <c r="D12" s="74" t="s">
        <v>135</v>
      </c>
      <c r="E12" s="34">
        <v>39.409999999999997</v>
      </c>
      <c r="F12" s="132"/>
      <c r="G12" s="135"/>
    </row>
    <row r="13" spans="2:11" ht="15.75" thickBot="1" x14ac:dyDescent="0.3">
      <c r="B13" s="137"/>
      <c r="C13" s="141"/>
      <c r="D13" s="74" t="s">
        <v>68</v>
      </c>
      <c r="E13" s="85">
        <v>152.37</v>
      </c>
      <c r="F13" s="133"/>
      <c r="G13" s="135"/>
    </row>
    <row r="14" spans="2:11" x14ac:dyDescent="0.25">
      <c r="B14" s="137"/>
      <c r="C14" s="156" t="s">
        <v>46</v>
      </c>
      <c r="D14" s="10" t="s">
        <v>72</v>
      </c>
      <c r="E14" s="35">
        <v>39.99</v>
      </c>
      <c r="F14" s="159">
        <f>SUM(E14:E20)</f>
        <v>283.76</v>
      </c>
      <c r="G14" s="135"/>
    </row>
    <row r="15" spans="2:11" x14ac:dyDescent="0.25">
      <c r="B15" s="137"/>
      <c r="C15" s="157"/>
      <c r="D15" s="11" t="s">
        <v>119</v>
      </c>
      <c r="E15" s="36">
        <v>49.9</v>
      </c>
      <c r="F15" s="160"/>
      <c r="G15" s="135"/>
    </row>
    <row r="16" spans="2:11" x14ac:dyDescent="0.25">
      <c r="B16" s="137"/>
      <c r="C16" s="157"/>
      <c r="D16" s="11" t="s">
        <v>10</v>
      </c>
      <c r="E16" s="36">
        <v>127</v>
      </c>
      <c r="F16" s="160"/>
      <c r="G16" s="135"/>
      <c r="K16" s="27"/>
    </row>
    <row r="17" spans="2:11" x14ac:dyDescent="0.25">
      <c r="B17" s="137"/>
      <c r="C17" s="157"/>
      <c r="D17" s="11" t="s">
        <v>78</v>
      </c>
      <c r="E17" s="36">
        <v>6.89</v>
      </c>
      <c r="F17" s="160"/>
      <c r="G17" s="135"/>
      <c r="K17" s="27"/>
    </row>
    <row r="18" spans="2:11" x14ac:dyDescent="0.25">
      <c r="B18" s="137"/>
      <c r="C18" s="157"/>
      <c r="D18" s="11" t="s">
        <v>138</v>
      </c>
      <c r="E18" s="36">
        <f>16.33+5.44</f>
        <v>21.77</v>
      </c>
      <c r="F18" s="160"/>
      <c r="G18" s="135"/>
      <c r="K18" s="27"/>
    </row>
    <row r="19" spans="2:11" x14ac:dyDescent="0.25">
      <c r="B19" s="137"/>
      <c r="C19" s="157"/>
      <c r="D19" s="11" t="s">
        <v>67</v>
      </c>
      <c r="E19" s="86">
        <v>22.89</v>
      </c>
      <c r="F19" s="160"/>
      <c r="G19" s="135"/>
    </row>
    <row r="20" spans="2:11" ht="15.75" thickBot="1" x14ac:dyDescent="0.3">
      <c r="B20" s="137"/>
      <c r="C20" s="158"/>
      <c r="D20" s="73" t="s">
        <v>116</v>
      </c>
      <c r="E20" s="87">
        <f>11.02+4.3</f>
        <v>15.32</v>
      </c>
      <c r="F20" s="161"/>
      <c r="G20" s="135"/>
    </row>
    <row r="21" spans="2:11" ht="15" customHeight="1" x14ac:dyDescent="0.25">
      <c r="B21" s="137"/>
      <c r="C21" s="162" t="s">
        <v>120</v>
      </c>
      <c r="D21" s="37" t="s">
        <v>73</v>
      </c>
      <c r="E21" s="38">
        <v>67.5</v>
      </c>
      <c r="F21" s="165">
        <f>SUM(E21:E25)</f>
        <v>196.56999999999996</v>
      </c>
      <c r="G21" s="135"/>
    </row>
    <row r="22" spans="2:11" x14ac:dyDescent="0.25">
      <c r="B22" s="137"/>
      <c r="C22" s="163"/>
      <c r="D22" s="23" t="s">
        <v>123</v>
      </c>
      <c r="E22" s="88">
        <f>19.9+5.9</f>
        <v>25.799999999999997</v>
      </c>
      <c r="F22" s="166"/>
      <c r="G22" s="135"/>
    </row>
    <row r="23" spans="2:11" x14ac:dyDescent="0.25">
      <c r="B23" s="137"/>
      <c r="C23" s="163"/>
      <c r="D23" s="23" t="s">
        <v>122</v>
      </c>
      <c r="E23" s="88">
        <v>79.900000000000006</v>
      </c>
      <c r="F23" s="166"/>
      <c r="G23" s="135"/>
    </row>
    <row r="24" spans="2:11" x14ac:dyDescent="0.25">
      <c r="B24" s="137"/>
      <c r="C24" s="163"/>
      <c r="D24" s="23" t="s">
        <v>74</v>
      </c>
      <c r="E24" s="88">
        <v>7.7</v>
      </c>
      <c r="F24" s="166"/>
      <c r="G24" s="135"/>
    </row>
    <row r="25" spans="2:11" ht="15.75" thickBot="1" x14ac:dyDescent="0.3">
      <c r="B25" s="137"/>
      <c r="C25" s="164"/>
      <c r="D25" s="15" t="s">
        <v>137</v>
      </c>
      <c r="E25" s="39">
        <v>15.67</v>
      </c>
      <c r="F25" s="167"/>
      <c r="G25" s="135"/>
    </row>
    <row r="26" spans="2:11" x14ac:dyDescent="0.25">
      <c r="B26" s="137"/>
      <c r="C26" s="142" t="s">
        <v>56</v>
      </c>
      <c r="D26" s="89" t="s">
        <v>140</v>
      </c>
      <c r="E26" s="90">
        <f>8.12+6.55+24.51+24.51+22.94+5.44</f>
        <v>92.07</v>
      </c>
      <c r="F26" s="177">
        <f>SUM(E26:E27)</f>
        <v>100.58</v>
      </c>
      <c r="G26" s="135"/>
    </row>
    <row r="27" spans="2:11" ht="15.75" thickBot="1" x14ac:dyDescent="0.3">
      <c r="B27" s="137"/>
      <c r="C27" s="143"/>
      <c r="D27" s="91" t="s">
        <v>141</v>
      </c>
      <c r="E27" s="92">
        <v>8.51</v>
      </c>
      <c r="F27" s="178"/>
      <c r="G27" s="135"/>
    </row>
    <row r="28" spans="2:11" x14ac:dyDescent="0.25">
      <c r="B28" s="138"/>
      <c r="C28" s="171" t="s">
        <v>47</v>
      </c>
      <c r="D28" s="13" t="s">
        <v>9</v>
      </c>
      <c r="E28" s="40">
        <v>44.1</v>
      </c>
      <c r="F28" s="168">
        <f>SUM(E28:E37)</f>
        <v>605.39</v>
      </c>
      <c r="G28" s="135"/>
    </row>
    <row r="29" spans="2:11" x14ac:dyDescent="0.25">
      <c r="B29" s="138"/>
      <c r="C29" s="172"/>
      <c r="D29" s="223" t="s">
        <v>146</v>
      </c>
      <c r="E29" s="224">
        <v>370.7</v>
      </c>
      <c r="F29" s="169"/>
      <c r="G29" s="135"/>
    </row>
    <row r="30" spans="2:11" x14ac:dyDescent="0.25">
      <c r="B30" s="138"/>
      <c r="C30" s="172"/>
      <c r="D30" s="14" t="s">
        <v>19</v>
      </c>
      <c r="E30" s="41">
        <v>6.2</v>
      </c>
      <c r="F30" s="169"/>
      <c r="G30" s="135"/>
    </row>
    <row r="31" spans="2:11" x14ac:dyDescent="0.25">
      <c r="B31" s="138"/>
      <c r="C31" s="172"/>
      <c r="D31" s="14" t="s">
        <v>31</v>
      </c>
      <c r="E31" s="41">
        <v>7.01</v>
      </c>
      <c r="F31" s="169"/>
      <c r="G31" s="135"/>
    </row>
    <row r="32" spans="2:11" x14ac:dyDescent="0.25">
      <c r="B32" s="138"/>
      <c r="C32" s="172"/>
      <c r="D32" s="14" t="s">
        <v>79</v>
      </c>
      <c r="E32" s="41">
        <v>39</v>
      </c>
      <c r="F32" s="169"/>
      <c r="G32" s="135"/>
    </row>
    <row r="33" spans="2:8" x14ac:dyDescent="0.25">
      <c r="B33" s="138"/>
      <c r="C33" s="172"/>
      <c r="D33" s="14" t="s">
        <v>101</v>
      </c>
      <c r="E33" s="41">
        <f>19.9+13.625</f>
        <v>33.524999999999999</v>
      </c>
      <c r="F33" s="169"/>
      <c r="G33" s="135"/>
    </row>
    <row r="34" spans="2:8" x14ac:dyDescent="0.25">
      <c r="B34" s="138"/>
      <c r="C34" s="172"/>
      <c r="D34" s="14" t="s">
        <v>102</v>
      </c>
      <c r="E34" s="41">
        <f>59.9+13.625</f>
        <v>73.525000000000006</v>
      </c>
      <c r="F34" s="169"/>
      <c r="G34" s="135"/>
    </row>
    <row r="35" spans="2:8" x14ac:dyDescent="0.25">
      <c r="B35" s="138"/>
      <c r="C35" s="172"/>
      <c r="D35" s="14" t="s">
        <v>15</v>
      </c>
      <c r="E35" s="41">
        <v>12.1</v>
      </c>
      <c r="F35" s="169"/>
      <c r="G35" s="135"/>
    </row>
    <row r="36" spans="2:8" x14ac:dyDescent="0.25">
      <c r="B36" s="138"/>
      <c r="C36" s="172"/>
      <c r="D36" s="14" t="s">
        <v>132</v>
      </c>
      <c r="E36" s="41">
        <v>9.99</v>
      </c>
      <c r="F36" s="169"/>
      <c r="G36" s="135"/>
    </row>
    <row r="37" spans="2:8" ht="15.75" thickBot="1" x14ac:dyDescent="0.3">
      <c r="B37" s="138"/>
      <c r="C37" s="173"/>
      <c r="D37" s="83" t="s">
        <v>142</v>
      </c>
      <c r="E37" s="84">
        <v>9.24</v>
      </c>
      <c r="F37" s="170"/>
      <c r="G37" s="135"/>
    </row>
    <row r="38" spans="2:8" x14ac:dyDescent="0.25">
      <c r="B38" s="138"/>
      <c r="C38" s="228" t="s">
        <v>114</v>
      </c>
      <c r="D38" s="232" t="s">
        <v>115</v>
      </c>
      <c r="E38" s="233">
        <f>13.3+11.9+4.3</f>
        <v>29.500000000000004</v>
      </c>
      <c r="F38" s="230">
        <f>SUM(E38:E39)</f>
        <v>87.3</v>
      </c>
      <c r="G38" s="135"/>
    </row>
    <row r="39" spans="2:8" ht="15.75" thickBot="1" x14ac:dyDescent="0.3">
      <c r="B39" s="138"/>
      <c r="C39" s="229"/>
      <c r="D39" s="234" t="s">
        <v>147</v>
      </c>
      <c r="E39" s="235">
        <v>57.8</v>
      </c>
      <c r="F39" s="231"/>
      <c r="G39" s="135"/>
    </row>
    <row r="40" spans="2:8" ht="15" customHeight="1" x14ac:dyDescent="0.25">
      <c r="B40" s="137"/>
      <c r="C40" s="174" t="s">
        <v>64</v>
      </c>
      <c r="D40" s="42" t="s">
        <v>63</v>
      </c>
      <c r="E40" s="43">
        <v>80</v>
      </c>
      <c r="F40" s="147">
        <f>SUM(E40:E48)</f>
        <v>353.26</v>
      </c>
      <c r="G40" s="135"/>
      <c r="H40" s="17"/>
    </row>
    <row r="41" spans="2:8" x14ac:dyDescent="0.25">
      <c r="B41" s="137"/>
      <c r="C41" s="175"/>
      <c r="D41" s="44" t="s">
        <v>25</v>
      </c>
      <c r="E41" s="45">
        <v>30.1</v>
      </c>
      <c r="F41" s="148"/>
      <c r="G41" s="135"/>
    </row>
    <row r="42" spans="2:8" x14ac:dyDescent="0.25">
      <c r="B42" s="137"/>
      <c r="C42" s="175"/>
      <c r="D42" s="44" t="s">
        <v>81</v>
      </c>
      <c r="E42" s="45">
        <f>5.9+4.2</f>
        <v>10.100000000000001</v>
      </c>
      <c r="F42" s="148"/>
      <c r="G42" s="135"/>
    </row>
    <row r="43" spans="2:8" x14ac:dyDescent="0.25">
      <c r="B43" s="137"/>
      <c r="C43" s="175"/>
      <c r="D43" s="44" t="s">
        <v>103</v>
      </c>
      <c r="E43" s="45">
        <f>49.9*2+(13.625*2)</f>
        <v>127.05</v>
      </c>
      <c r="F43" s="148"/>
      <c r="G43" s="135"/>
    </row>
    <row r="44" spans="2:8" x14ac:dyDescent="0.25">
      <c r="B44" s="137"/>
      <c r="C44" s="175"/>
      <c r="D44" s="44" t="s">
        <v>14</v>
      </c>
      <c r="E44" s="45">
        <v>43.68</v>
      </c>
      <c r="F44" s="148"/>
      <c r="G44" s="135"/>
    </row>
    <row r="45" spans="2:8" x14ac:dyDescent="0.25">
      <c r="B45" s="137"/>
      <c r="C45" s="175"/>
      <c r="D45" s="44" t="s">
        <v>110</v>
      </c>
      <c r="E45" s="45">
        <v>11.9</v>
      </c>
      <c r="F45" s="148"/>
      <c r="G45" s="135"/>
    </row>
    <row r="46" spans="2:8" x14ac:dyDescent="0.25">
      <c r="B46" s="137"/>
      <c r="C46" s="175"/>
      <c r="D46" s="44" t="s">
        <v>139</v>
      </c>
      <c r="E46" s="45">
        <f>20.48+5.44</f>
        <v>25.92</v>
      </c>
      <c r="F46" s="148"/>
      <c r="G46" s="135"/>
    </row>
    <row r="47" spans="2:8" x14ac:dyDescent="0.25">
      <c r="B47" s="137"/>
      <c r="C47" s="175"/>
      <c r="D47" s="44" t="s">
        <v>144</v>
      </c>
      <c r="E47" s="45">
        <v>15.51</v>
      </c>
      <c r="F47" s="148"/>
      <c r="G47" s="135"/>
    </row>
    <row r="48" spans="2:8" ht="15.75" thickBot="1" x14ac:dyDescent="0.3">
      <c r="B48" s="137"/>
      <c r="C48" s="176"/>
      <c r="D48" s="93" t="s">
        <v>61</v>
      </c>
      <c r="E48" s="94">
        <v>9</v>
      </c>
      <c r="F48" s="149"/>
      <c r="G48" s="135"/>
    </row>
    <row r="49" spans="2:7" x14ac:dyDescent="0.25">
      <c r="B49" s="137"/>
      <c r="C49" s="150" t="s">
        <v>117</v>
      </c>
      <c r="D49" s="95" t="s">
        <v>118</v>
      </c>
      <c r="E49" s="96">
        <f>25.84+4.3</f>
        <v>30.14</v>
      </c>
      <c r="F49" s="153">
        <f>SUM(E49:E51)</f>
        <v>52.18</v>
      </c>
      <c r="G49" s="135"/>
    </row>
    <row r="50" spans="2:7" x14ac:dyDescent="0.25">
      <c r="B50" s="137"/>
      <c r="C50" s="151"/>
      <c r="D50" s="97" t="s">
        <v>121</v>
      </c>
      <c r="E50" s="98">
        <v>9.9</v>
      </c>
      <c r="F50" s="154"/>
      <c r="G50" s="135"/>
    </row>
    <row r="51" spans="2:7" ht="15.75" thickBot="1" x14ac:dyDescent="0.3">
      <c r="B51" s="137"/>
      <c r="C51" s="152"/>
      <c r="D51" s="99" t="s">
        <v>143</v>
      </c>
      <c r="E51" s="100">
        <v>12.14</v>
      </c>
      <c r="F51" s="155"/>
      <c r="G51" s="135"/>
    </row>
    <row r="52" spans="2:7" ht="15.75" thickBot="1" x14ac:dyDescent="0.3">
      <c r="B52" s="137"/>
      <c r="C52" s="102" t="s">
        <v>48</v>
      </c>
      <c r="D52" s="103" t="s">
        <v>126</v>
      </c>
      <c r="E52" s="104">
        <f>((9.88*2)/3)+3.1+8+3.45+17.9+28.4+11</f>
        <v>78.436666666666667</v>
      </c>
      <c r="F52" s="101">
        <f>SUM(E52:E52)</f>
        <v>78.436666666666667</v>
      </c>
      <c r="G52" s="135"/>
    </row>
    <row r="53" spans="2:7" ht="15" customHeight="1" x14ac:dyDescent="0.25">
      <c r="B53" s="144" t="s">
        <v>51</v>
      </c>
      <c r="C53" s="62"/>
      <c r="D53" s="47" t="s">
        <v>37</v>
      </c>
      <c r="E53" s="26">
        <v>1000</v>
      </c>
      <c r="F53" s="28"/>
      <c r="G53" s="128">
        <f>SUM(E53:E61)</f>
        <v>1556.73</v>
      </c>
    </row>
    <row r="54" spans="2:7" ht="15" customHeight="1" x14ac:dyDescent="0.25">
      <c r="B54" s="145"/>
      <c r="C54" s="63"/>
      <c r="D54" s="18" t="s">
        <v>16</v>
      </c>
      <c r="E54" s="19">
        <v>161.21</v>
      </c>
      <c r="F54" s="29"/>
      <c r="G54" s="129"/>
    </row>
    <row r="55" spans="2:7" ht="15" customHeight="1" x14ac:dyDescent="0.25">
      <c r="B55" s="145"/>
      <c r="C55" s="63"/>
      <c r="D55" s="18" t="s">
        <v>65</v>
      </c>
      <c r="E55" s="19">
        <v>161.30000000000001</v>
      </c>
      <c r="F55" s="29"/>
      <c r="G55" s="129"/>
    </row>
    <row r="56" spans="2:7" ht="15" customHeight="1" x14ac:dyDescent="0.25">
      <c r="B56" s="145"/>
      <c r="C56" s="63"/>
      <c r="D56" s="18" t="s">
        <v>66</v>
      </c>
      <c r="E56" s="19">
        <v>166.5</v>
      </c>
      <c r="F56" s="29"/>
      <c r="G56" s="129"/>
    </row>
    <row r="57" spans="2:7" x14ac:dyDescent="0.25">
      <c r="B57" s="145"/>
      <c r="C57" s="63"/>
      <c r="D57" s="18" t="s">
        <v>0</v>
      </c>
      <c r="E57" s="19">
        <v>11.8</v>
      </c>
      <c r="F57" s="29"/>
      <c r="G57" s="129"/>
    </row>
    <row r="58" spans="2:7" x14ac:dyDescent="0.25">
      <c r="B58" s="145"/>
      <c r="C58" s="63"/>
      <c r="D58" s="18" t="s">
        <v>75</v>
      </c>
      <c r="E58" s="19">
        <f>6.91+3.06</f>
        <v>9.9700000000000006</v>
      </c>
      <c r="F58" s="29"/>
      <c r="G58" s="129"/>
    </row>
    <row r="59" spans="2:7" x14ac:dyDescent="0.25">
      <c r="B59" s="145"/>
      <c r="C59" s="63"/>
      <c r="D59" s="18" t="s">
        <v>12</v>
      </c>
      <c r="E59" s="19">
        <v>9.5</v>
      </c>
      <c r="F59" s="29"/>
      <c r="G59" s="129"/>
    </row>
    <row r="60" spans="2:7" x14ac:dyDescent="0.25">
      <c r="B60" s="145"/>
      <c r="C60" s="63"/>
      <c r="D60" s="18" t="s">
        <v>18</v>
      </c>
      <c r="E60" s="19">
        <v>31.45</v>
      </c>
      <c r="F60" s="29"/>
      <c r="G60" s="129"/>
    </row>
    <row r="61" spans="2:7" ht="15.75" thickBot="1" x14ac:dyDescent="0.3">
      <c r="B61" s="146"/>
      <c r="C61" s="64"/>
      <c r="D61" s="20" t="s">
        <v>34</v>
      </c>
      <c r="E61" s="21">
        <v>5</v>
      </c>
      <c r="F61" s="30"/>
      <c r="G61" s="130"/>
    </row>
    <row r="62" spans="2:7" ht="19.5" thickBot="1" x14ac:dyDescent="0.3">
      <c r="E62" s="9"/>
      <c r="F62" s="9"/>
      <c r="G62" s="68">
        <f>SUM(G5:G61)</f>
        <v>3729.2766666666662</v>
      </c>
    </row>
    <row r="63" spans="2:7" x14ac:dyDescent="0.25">
      <c r="D63" s="69" t="s">
        <v>60</v>
      </c>
    </row>
    <row r="64" spans="2:7" x14ac:dyDescent="0.25">
      <c r="D64" s="69"/>
    </row>
    <row r="65" spans="2:7" ht="21" x14ac:dyDescent="0.35">
      <c r="B65" s="5"/>
      <c r="C65" s="5"/>
      <c r="D65" s="124" t="s">
        <v>52</v>
      </c>
      <c r="E65" s="125"/>
      <c r="F65" s="126"/>
      <c r="G65" s="67">
        <f>G62+Consommable!G69</f>
        <v>6084.7849999999999</v>
      </c>
    </row>
    <row r="66" spans="2:7" x14ac:dyDescent="0.25">
      <c r="G66" s="9"/>
    </row>
  </sheetData>
  <mergeCells count="22">
    <mergeCell ref="F28:F37"/>
    <mergeCell ref="C28:C37"/>
    <mergeCell ref="C40:C48"/>
    <mergeCell ref="F26:F27"/>
    <mergeCell ref="C38:C39"/>
    <mergeCell ref="F38:F39"/>
    <mergeCell ref="D65:F65"/>
    <mergeCell ref="B2:G2"/>
    <mergeCell ref="G53:G61"/>
    <mergeCell ref="F5:F13"/>
    <mergeCell ref="G5:G52"/>
    <mergeCell ref="B5:B52"/>
    <mergeCell ref="C5:C13"/>
    <mergeCell ref="C26:C27"/>
    <mergeCell ref="B53:B61"/>
    <mergeCell ref="F40:F48"/>
    <mergeCell ref="C49:C51"/>
    <mergeCell ref="F49:F51"/>
    <mergeCell ref="C14:C20"/>
    <mergeCell ref="F14:F20"/>
    <mergeCell ref="C21:C25"/>
    <mergeCell ref="F21:F25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72"/>
  <sheetViews>
    <sheetView topLeftCell="A67" workbookViewId="0">
      <selection activeCell="G59" sqref="G59:G68"/>
    </sheetView>
  </sheetViews>
  <sheetFormatPr baseColWidth="10" defaultRowHeight="15" x14ac:dyDescent="0.25"/>
  <cols>
    <col min="1" max="1" width="5.7109375" customWidth="1"/>
    <col min="2" max="3" width="7.85546875" customWidth="1"/>
    <col min="4" max="4" width="47.140625" bestFit="1" customWidth="1"/>
    <col min="7" max="7" width="13.140625" bestFit="1" customWidth="1"/>
    <col min="9" max="11" width="0" hidden="1" customWidth="1"/>
  </cols>
  <sheetData>
    <row r="2" spans="2:14" ht="26.25" x14ac:dyDescent="0.4">
      <c r="B2" s="127" t="s">
        <v>76</v>
      </c>
      <c r="C2" s="127"/>
      <c r="D2" s="127"/>
      <c r="E2" s="127"/>
      <c r="F2" s="127"/>
      <c r="G2" s="127"/>
    </row>
    <row r="3" spans="2:14" ht="15.75" thickBot="1" x14ac:dyDescent="0.3"/>
    <row r="4" spans="2:14" ht="15.75" thickBot="1" x14ac:dyDescent="0.3">
      <c r="D4" s="8" t="s">
        <v>35</v>
      </c>
      <c r="E4" s="24" t="s">
        <v>36</v>
      </c>
      <c r="F4" s="66" t="s">
        <v>49</v>
      </c>
      <c r="G4" s="65" t="s">
        <v>49</v>
      </c>
      <c r="L4" s="70" t="s">
        <v>62</v>
      </c>
      <c r="M4" s="71"/>
      <c r="N4" s="72"/>
    </row>
    <row r="5" spans="2:14" x14ac:dyDescent="0.25">
      <c r="B5" s="208" t="s">
        <v>40</v>
      </c>
      <c r="C5" s="183" t="s">
        <v>55</v>
      </c>
      <c r="D5" s="105" t="s">
        <v>1</v>
      </c>
      <c r="E5" s="57">
        <f>10.15+3.2</f>
        <v>13.350000000000001</v>
      </c>
      <c r="F5" s="131">
        <f>SUM(E5:E8)</f>
        <v>59.199999999999996</v>
      </c>
      <c r="G5" s="201">
        <f>SUM(F5:F28)</f>
        <v>692.96333333333337</v>
      </c>
      <c r="L5" s="3" t="s">
        <v>6</v>
      </c>
      <c r="M5" s="3" t="s">
        <v>7</v>
      </c>
      <c r="N5" s="3" t="s">
        <v>8</v>
      </c>
    </row>
    <row r="6" spans="2:14" x14ac:dyDescent="0.25">
      <c r="B6" s="209"/>
      <c r="C6" s="184"/>
      <c r="D6" s="106" t="s">
        <v>2</v>
      </c>
      <c r="E6" s="58">
        <v>10.95</v>
      </c>
      <c r="F6" s="132"/>
      <c r="G6" s="202"/>
      <c r="L6" s="1">
        <v>19.829999999999998</v>
      </c>
      <c r="M6" s="2">
        <v>0.2</v>
      </c>
      <c r="N6" s="4">
        <f>ROUND(L6+(L6*M6),2)</f>
        <v>23.8</v>
      </c>
    </row>
    <row r="7" spans="2:14" x14ac:dyDescent="0.25">
      <c r="B7" s="209"/>
      <c r="C7" s="184"/>
      <c r="D7" s="106" t="s">
        <v>29</v>
      </c>
      <c r="E7" s="58">
        <f>8.5*3</f>
        <v>25.5</v>
      </c>
      <c r="F7" s="132"/>
      <c r="G7" s="202"/>
    </row>
    <row r="8" spans="2:14" ht="15.75" thickBot="1" x14ac:dyDescent="0.3">
      <c r="B8" s="209"/>
      <c r="C8" s="185"/>
      <c r="D8" s="107" t="s">
        <v>43</v>
      </c>
      <c r="E8" s="59">
        <f>4.7*2</f>
        <v>9.4</v>
      </c>
      <c r="F8" s="133"/>
      <c r="G8" s="202"/>
    </row>
    <row r="9" spans="2:14" ht="15" customHeight="1" x14ac:dyDescent="0.25">
      <c r="B9" s="209"/>
      <c r="C9" s="205" t="s">
        <v>54</v>
      </c>
      <c r="D9" s="10" t="s">
        <v>23</v>
      </c>
      <c r="E9" s="54">
        <f>15.99*3</f>
        <v>47.97</v>
      </c>
      <c r="F9" s="159">
        <f>SUM(E9:E13)</f>
        <v>185.245</v>
      </c>
      <c r="G9" s="202"/>
    </row>
    <row r="10" spans="2:14" x14ac:dyDescent="0.25">
      <c r="B10" s="209"/>
      <c r="C10" s="206"/>
      <c r="D10" s="11" t="s">
        <v>24</v>
      </c>
      <c r="E10" s="55">
        <v>90.87</v>
      </c>
      <c r="F10" s="160"/>
      <c r="G10" s="202"/>
    </row>
    <row r="11" spans="2:14" x14ac:dyDescent="0.25">
      <c r="B11" s="209"/>
      <c r="C11" s="206"/>
      <c r="D11" s="11" t="s">
        <v>32</v>
      </c>
      <c r="E11" s="55">
        <f>10.6</f>
        <v>10.6</v>
      </c>
      <c r="F11" s="160"/>
      <c r="G11" s="202"/>
    </row>
    <row r="12" spans="2:14" x14ac:dyDescent="0.25">
      <c r="B12" s="209"/>
      <c r="C12" s="206"/>
      <c r="D12" s="11" t="s">
        <v>41</v>
      </c>
      <c r="E12" s="55">
        <f>13.85+14.3</f>
        <v>28.15</v>
      </c>
      <c r="F12" s="160"/>
      <c r="G12" s="202"/>
    </row>
    <row r="13" spans="2:14" ht="15.75" thickBot="1" x14ac:dyDescent="0.3">
      <c r="B13" s="209"/>
      <c r="C13" s="207"/>
      <c r="D13" s="12" t="s">
        <v>58</v>
      </c>
      <c r="E13" s="56">
        <f>15.31/2</f>
        <v>7.6550000000000002</v>
      </c>
      <c r="F13" s="161"/>
      <c r="G13" s="202"/>
    </row>
    <row r="14" spans="2:14" x14ac:dyDescent="0.25">
      <c r="B14" s="209"/>
      <c r="C14" s="198" t="s">
        <v>53</v>
      </c>
      <c r="D14" s="25" t="s">
        <v>28</v>
      </c>
      <c r="E14" s="51">
        <f>(21.89*2)+16.5+(18.66*2)</f>
        <v>97.6</v>
      </c>
      <c r="F14" s="165">
        <f>SUM(E14:E23)</f>
        <v>363.18999999999994</v>
      </c>
      <c r="G14" s="202"/>
    </row>
    <row r="15" spans="2:14" x14ac:dyDescent="0.25">
      <c r="B15" s="209"/>
      <c r="C15" s="199"/>
      <c r="D15" s="23" t="s">
        <v>5</v>
      </c>
      <c r="E15" s="52">
        <f>23.3*2</f>
        <v>46.6</v>
      </c>
      <c r="F15" s="166"/>
      <c r="G15" s="202"/>
      <c r="I15" s="3" t="s">
        <v>6</v>
      </c>
      <c r="J15" s="3" t="s">
        <v>7</v>
      </c>
      <c r="K15" s="3" t="s">
        <v>8</v>
      </c>
    </row>
    <row r="16" spans="2:14" x14ac:dyDescent="0.25">
      <c r="B16" s="209"/>
      <c r="C16" s="199"/>
      <c r="D16" s="23" t="s">
        <v>4</v>
      </c>
      <c r="E16" s="52">
        <v>28.7</v>
      </c>
      <c r="F16" s="166"/>
      <c r="G16" s="202"/>
      <c r="I16" s="1">
        <v>5.86</v>
      </c>
      <c r="J16" s="2">
        <v>0.19600000000000001</v>
      </c>
      <c r="K16" s="4">
        <f>ROUND(I16+(I16*J16),2)</f>
        <v>7.01</v>
      </c>
    </row>
    <row r="17" spans="2:16" x14ac:dyDescent="0.25">
      <c r="B17" s="209"/>
      <c r="C17" s="199"/>
      <c r="D17" s="23" t="s">
        <v>38</v>
      </c>
      <c r="E17" s="52">
        <f>19.9/2</f>
        <v>9.9499999999999993</v>
      </c>
      <c r="F17" s="166"/>
      <c r="G17" s="202"/>
    </row>
    <row r="18" spans="2:16" x14ac:dyDescent="0.25">
      <c r="B18" s="209"/>
      <c r="C18" s="199"/>
      <c r="D18" s="23" t="s">
        <v>11</v>
      </c>
      <c r="E18" s="52">
        <v>15.1</v>
      </c>
      <c r="F18" s="166"/>
      <c r="G18" s="202"/>
      <c r="P18" s="27"/>
    </row>
    <row r="19" spans="2:16" x14ac:dyDescent="0.25">
      <c r="B19" s="209"/>
      <c r="C19" s="199"/>
      <c r="D19" s="23" t="s">
        <v>3</v>
      </c>
      <c r="E19" s="52">
        <v>21.8</v>
      </c>
      <c r="F19" s="166"/>
      <c r="G19" s="202"/>
    </row>
    <row r="20" spans="2:16" x14ac:dyDescent="0.25">
      <c r="B20" s="209"/>
      <c r="C20" s="199"/>
      <c r="D20" s="23" t="s">
        <v>33</v>
      </c>
      <c r="E20" s="52">
        <f>14.5*2</f>
        <v>29</v>
      </c>
      <c r="F20" s="166"/>
      <c r="G20" s="202"/>
    </row>
    <row r="21" spans="2:16" x14ac:dyDescent="0.25">
      <c r="B21" s="209"/>
      <c r="C21" s="199"/>
      <c r="D21" s="23" t="s">
        <v>27</v>
      </c>
      <c r="E21" s="52">
        <f>42.84+5.7</f>
        <v>48.540000000000006</v>
      </c>
      <c r="F21" s="166"/>
      <c r="G21" s="202"/>
    </row>
    <row r="22" spans="2:16" x14ac:dyDescent="0.25">
      <c r="B22" s="209"/>
      <c r="C22" s="199"/>
      <c r="D22" s="23" t="s">
        <v>42</v>
      </c>
      <c r="E22" s="52">
        <v>54</v>
      </c>
      <c r="F22" s="166"/>
      <c r="G22" s="202"/>
    </row>
    <row r="23" spans="2:16" ht="15.75" thickBot="1" x14ac:dyDescent="0.3">
      <c r="B23" s="209"/>
      <c r="C23" s="200"/>
      <c r="D23" s="15" t="s">
        <v>44</v>
      </c>
      <c r="E23" s="53">
        <v>11.9</v>
      </c>
      <c r="F23" s="167"/>
      <c r="G23" s="202"/>
    </row>
    <row r="24" spans="2:16" x14ac:dyDescent="0.25">
      <c r="B24" s="209"/>
      <c r="C24" s="183" t="s">
        <v>48</v>
      </c>
      <c r="D24" s="13" t="s">
        <v>13</v>
      </c>
      <c r="E24" s="48">
        <v>3.95</v>
      </c>
      <c r="F24" s="191">
        <f>SUM(E24:E28)</f>
        <v>85.328333333333333</v>
      </c>
      <c r="G24" s="202"/>
    </row>
    <row r="25" spans="2:16" x14ac:dyDescent="0.25">
      <c r="B25" s="209"/>
      <c r="C25" s="184"/>
      <c r="D25" s="14" t="s">
        <v>22</v>
      </c>
      <c r="E25" s="49">
        <v>20.34</v>
      </c>
      <c r="F25" s="192"/>
      <c r="G25" s="202"/>
    </row>
    <row r="26" spans="2:16" x14ac:dyDescent="0.25">
      <c r="B26" s="209"/>
      <c r="C26" s="184"/>
      <c r="D26" s="14" t="s">
        <v>84</v>
      </c>
      <c r="E26" s="49">
        <f>17.05/2</f>
        <v>8.5250000000000004</v>
      </c>
      <c r="F26" s="192"/>
      <c r="G26" s="202"/>
    </row>
    <row r="27" spans="2:16" x14ac:dyDescent="0.25">
      <c r="B27" s="209"/>
      <c r="C27" s="184"/>
      <c r="D27" s="14" t="s">
        <v>30</v>
      </c>
      <c r="E27" s="49">
        <f>9.88/3</f>
        <v>3.2933333333333334</v>
      </c>
      <c r="F27" s="192"/>
      <c r="G27" s="202"/>
    </row>
    <row r="28" spans="2:16" ht="15.75" thickBot="1" x14ac:dyDescent="0.3">
      <c r="B28" s="209"/>
      <c r="C28" s="184"/>
      <c r="D28" s="46" t="s">
        <v>39</v>
      </c>
      <c r="E28" s="50">
        <v>49.22</v>
      </c>
      <c r="F28" s="192"/>
      <c r="G28" s="202"/>
    </row>
    <row r="29" spans="2:16" x14ac:dyDescent="0.25">
      <c r="B29" s="218" t="s">
        <v>133</v>
      </c>
      <c r="C29" s="221"/>
      <c r="D29" s="114" t="s">
        <v>93</v>
      </c>
      <c r="E29" s="115">
        <v>18.100000000000001</v>
      </c>
      <c r="F29" s="193">
        <f>SUM(E29:E30)</f>
        <v>67.069999999999993</v>
      </c>
      <c r="G29" s="193">
        <f>SUM(F29:F51)</f>
        <v>1203.415</v>
      </c>
      <c r="L29" s="27"/>
    </row>
    <row r="30" spans="2:16" ht="15.75" thickBot="1" x14ac:dyDescent="0.3">
      <c r="B30" s="219"/>
      <c r="C30" s="222"/>
      <c r="D30" s="116" t="s">
        <v>85</v>
      </c>
      <c r="E30" s="117">
        <f>5.9+8.95+12.99+3.99+4.99+4+5+3.15</f>
        <v>48.97</v>
      </c>
      <c r="F30" s="195"/>
      <c r="G30" s="194"/>
      <c r="L30" s="27"/>
    </row>
    <row r="31" spans="2:16" x14ac:dyDescent="0.25">
      <c r="B31" s="219"/>
      <c r="C31" s="222"/>
      <c r="D31" s="118" t="s">
        <v>86</v>
      </c>
      <c r="E31" s="119">
        <f>16+10+9</f>
        <v>35</v>
      </c>
      <c r="F31" s="193">
        <f>SUM(E31:E34)</f>
        <v>326.35500000000002</v>
      </c>
      <c r="G31" s="194"/>
      <c r="L31" s="27"/>
    </row>
    <row r="32" spans="2:16" x14ac:dyDescent="0.25">
      <c r="B32" s="219"/>
      <c r="C32" s="222"/>
      <c r="D32" s="118" t="s">
        <v>92</v>
      </c>
      <c r="E32" s="119">
        <f>8.6+39.9+37.9</f>
        <v>86.4</v>
      </c>
      <c r="F32" s="194"/>
      <c r="G32" s="194"/>
      <c r="L32" s="27"/>
    </row>
    <row r="33" spans="2:12" x14ac:dyDescent="0.25">
      <c r="B33" s="219"/>
      <c r="C33" s="222"/>
      <c r="D33" s="120" t="s">
        <v>127</v>
      </c>
      <c r="E33" s="121">
        <f>(10.6*3)+26.97+13.6+8+8+28+(5.5+5.3)+(5.3+5.5)</f>
        <v>137.97</v>
      </c>
      <c r="F33" s="194"/>
      <c r="G33" s="194"/>
      <c r="H33" s="81"/>
      <c r="L33" s="27"/>
    </row>
    <row r="34" spans="2:12" ht="15.75" thickBot="1" x14ac:dyDescent="0.3">
      <c r="B34" s="219"/>
      <c r="C34" s="222"/>
      <c r="D34" s="122" t="s">
        <v>96</v>
      </c>
      <c r="E34" s="123">
        <f>(15.31*1.5)+(22.01*2)</f>
        <v>66.984999999999999</v>
      </c>
      <c r="F34" s="195"/>
      <c r="G34" s="194"/>
      <c r="H34" s="81"/>
      <c r="L34" s="27"/>
    </row>
    <row r="35" spans="2:12" x14ac:dyDescent="0.25">
      <c r="B35" s="219"/>
      <c r="C35" s="189"/>
      <c r="D35" s="114" t="s">
        <v>38</v>
      </c>
      <c r="E35" s="115">
        <v>12.5</v>
      </c>
      <c r="F35" s="203">
        <f>SUM(E35:E47)</f>
        <v>389.25999999999993</v>
      </c>
      <c r="G35" s="194"/>
      <c r="H35" s="81"/>
      <c r="L35" s="27"/>
    </row>
    <row r="36" spans="2:12" x14ac:dyDescent="0.25">
      <c r="B36" s="219"/>
      <c r="C36" s="189"/>
      <c r="D36" s="120" t="s">
        <v>82</v>
      </c>
      <c r="E36" s="121">
        <f>97.06/2</f>
        <v>48.53</v>
      </c>
      <c r="F36" s="204"/>
      <c r="G36" s="194"/>
      <c r="L36" s="27"/>
    </row>
    <row r="37" spans="2:12" x14ac:dyDescent="0.25">
      <c r="B37" s="219"/>
      <c r="C37" s="189"/>
      <c r="D37" s="120" t="s">
        <v>89</v>
      </c>
      <c r="E37" s="121">
        <f>((49.9+24.9)/5)*2</f>
        <v>29.919999999999998</v>
      </c>
      <c r="F37" s="204"/>
      <c r="G37" s="194"/>
      <c r="L37" s="27"/>
    </row>
    <row r="38" spans="2:12" x14ac:dyDescent="0.25">
      <c r="B38" s="219"/>
      <c r="C38" s="189"/>
      <c r="D38" s="120" t="s">
        <v>100</v>
      </c>
      <c r="E38" s="121">
        <v>18.899999999999999</v>
      </c>
      <c r="F38" s="204"/>
      <c r="G38" s="194"/>
      <c r="L38" s="27"/>
    </row>
    <row r="39" spans="2:12" x14ac:dyDescent="0.25">
      <c r="B39" s="219"/>
      <c r="C39" s="189"/>
      <c r="D39" s="120" t="s">
        <v>107</v>
      </c>
      <c r="E39" s="121">
        <v>10.9</v>
      </c>
      <c r="F39" s="204"/>
      <c r="G39" s="194"/>
      <c r="L39" s="27"/>
    </row>
    <row r="40" spans="2:12" x14ac:dyDescent="0.25">
      <c r="B40" s="219"/>
      <c r="C40" s="189"/>
      <c r="D40" s="120" t="s">
        <v>112</v>
      </c>
      <c r="E40" s="121">
        <f>12.85*2</f>
        <v>25.7</v>
      </c>
      <c r="F40" s="204"/>
      <c r="G40" s="194"/>
      <c r="L40" s="27"/>
    </row>
    <row r="41" spans="2:12" x14ac:dyDescent="0.25">
      <c r="B41" s="219"/>
      <c r="C41" s="189"/>
      <c r="D41" s="120" t="s">
        <v>104</v>
      </c>
      <c r="E41" s="121">
        <f>12.85*2</f>
        <v>25.7</v>
      </c>
      <c r="F41" s="204"/>
      <c r="G41" s="194"/>
      <c r="L41" s="27"/>
    </row>
    <row r="42" spans="2:12" x14ac:dyDescent="0.25">
      <c r="B42" s="219"/>
      <c r="C42" s="189"/>
      <c r="D42" s="120" t="s">
        <v>105</v>
      </c>
      <c r="E42" s="121">
        <v>15.5</v>
      </c>
      <c r="F42" s="204"/>
      <c r="G42" s="194"/>
      <c r="L42" s="27"/>
    </row>
    <row r="43" spans="2:12" x14ac:dyDescent="0.25">
      <c r="B43" s="219"/>
      <c r="C43" s="189"/>
      <c r="D43" s="120" t="s">
        <v>98</v>
      </c>
      <c r="E43" s="121">
        <v>13.5</v>
      </c>
      <c r="F43" s="204"/>
      <c r="G43" s="194"/>
      <c r="L43" s="27"/>
    </row>
    <row r="44" spans="2:12" x14ac:dyDescent="0.25">
      <c r="B44" s="219"/>
      <c r="C44" s="189"/>
      <c r="D44" s="120" t="s">
        <v>109</v>
      </c>
      <c r="E44" s="121">
        <f>12.1+11.21+12.85+12.85+23.8</f>
        <v>72.81</v>
      </c>
      <c r="F44" s="204"/>
      <c r="G44" s="194"/>
      <c r="L44" s="27"/>
    </row>
    <row r="45" spans="2:12" x14ac:dyDescent="0.25">
      <c r="B45" s="219"/>
      <c r="C45" s="189"/>
      <c r="D45" s="120" t="s">
        <v>88</v>
      </c>
      <c r="E45" s="121">
        <f>13.78*2</f>
        <v>27.56</v>
      </c>
      <c r="F45" s="204"/>
      <c r="G45" s="194"/>
    </row>
    <row r="46" spans="2:12" x14ac:dyDescent="0.25">
      <c r="B46" s="219"/>
      <c r="C46" s="189"/>
      <c r="D46" s="120" t="s">
        <v>124</v>
      </c>
      <c r="E46" s="121">
        <f>14.89+53.96+8.99</f>
        <v>77.839999999999989</v>
      </c>
      <c r="F46" s="204"/>
      <c r="G46" s="194"/>
      <c r="H46" s="81"/>
    </row>
    <row r="47" spans="2:12" ht="15.75" thickBot="1" x14ac:dyDescent="0.3">
      <c r="B47" s="219"/>
      <c r="C47" s="189"/>
      <c r="D47" s="122" t="s">
        <v>125</v>
      </c>
      <c r="E47" s="123">
        <v>9.9</v>
      </c>
      <c r="F47" s="211"/>
      <c r="G47" s="194"/>
      <c r="H47" s="81"/>
    </row>
    <row r="48" spans="2:12" x14ac:dyDescent="0.25">
      <c r="B48" s="219"/>
      <c r="C48" s="189"/>
      <c r="D48" s="114" t="s">
        <v>97</v>
      </c>
      <c r="E48" s="115">
        <f>90.55+55.96</f>
        <v>146.51</v>
      </c>
      <c r="F48" s="203">
        <f>SUM(E48:E51)</f>
        <v>420.72999999999996</v>
      </c>
      <c r="G48" s="194"/>
      <c r="H48" s="81"/>
    </row>
    <row r="49" spans="2:12" x14ac:dyDescent="0.25">
      <c r="B49" s="219"/>
      <c r="C49" s="189"/>
      <c r="D49" s="120" t="s">
        <v>99</v>
      </c>
      <c r="E49" s="121">
        <f>64.5+20.95+30.31+25.96+30.31</f>
        <v>172.03</v>
      </c>
      <c r="F49" s="204"/>
      <c r="G49" s="194"/>
      <c r="H49" s="81"/>
    </row>
    <row r="50" spans="2:12" x14ac:dyDescent="0.25">
      <c r="B50" s="219"/>
      <c r="C50" s="189"/>
      <c r="D50" s="120" t="s">
        <v>134</v>
      </c>
      <c r="E50" s="121">
        <v>38.39</v>
      </c>
      <c r="F50" s="204"/>
      <c r="G50" s="194"/>
      <c r="H50" s="81"/>
    </row>
    <row r="51" spans="2:12" ht="15.75" thickBot="1" x14ac:dyDescent="0.3">
      <c r="B51" s="220"/>
      <c r="C51" s="190"/>
      <c r="D51" s="122" t="s">
        <v>108</v>
      </c>
      <c r="E51" s="123">
        <v>63.8</v>
      </c>
      <c r="F51" s="204"/>
      <c r="G51" s="195"/>
      <c r="H51" s="81"/>
    </row>
    <row r="52" spans="2:12" ht="15" customHeight="1" x14ac:dyDescent="0.25">
      <c r="B52" s="212" t="s">
        <v>80</v>
      </c>
      <c r="C52" s="210"/>
      <c r="D52" s="108" t="s">
        <v>127</v>
      </c>
      <c r="E52" s="109">
        <f>8.6+4.3+9+9</f>
        <v>30.9</v>
      </c>
      <c r="F52" s="186">
        <f>SUM(E52:E53)</f>
        <v>38.89</v>
      </c>
      <c r="G52" s="215">
        <f>SUM(F52:F58)</f>
        <v>263.24</v>
      </c>
    </row>
    <row r="53" spans="2:12" ht="15" customHeight="1" thickBot="1" x14ac:dyDescent="0.3">
      <c r="B53" s="213"/>
      <c r="C53" s="189"/>
      <c r="D53" s="110" t="s">
        <v>131</v>
      </c>
      <c r="E53" s="111">
        <v>7.99</v>
      </c>
      <c r="F53" s="187"/>
      <c r="G53" s="216"/>
    </row>
    <row r="54" spans="2:12" x14ac:dyDescent="0.25">
      <c r="B54" s="213"/>
      <c r="C54" s="189"/>
      <c r="D54" s="108" t="s">
        <v>90</v>
      </c>
      <c r="E54" s="109">
        <f>((49.9+24.9)/5)*3</f>
        <v>44.879999999999995</v>
      </c>
      <c r="F54" s="186">
        <f>SUM(E54:E56)</f>
        <v>77.28</v>
      </c>
      <c r="G54" s="216"/>
    </row>
    <row r="55" spans="2:12" x14ac:dyDescent="0.25">
      <c r="B55" s="213"/>
      <c r="C55" s="189"/>
      <c r="D55" s="112" t="s">
        <v>129</v>
      </c>
      <c r="E55" s="113">
        <v>17.899999999999999</v>
      </c>
      <c r="F55" s="188"/>
      <c r="G55" s="216"/>
    </row>
    <row r="56" spans="2:12" ht="15.75" thickBot="1" x14ac:dyDescent="0.3">
      <c r="B56" s="213"/>
      <c r="C56" s="189"/>
      <c r="D56" s="110" t="s">
        <v>145</v>
      </c>
      <c r="E56" s="111">
        <v>14.5</v>
      </c>
      <c r="F56" s="187"/>
      <c r="G56" s="216"/>
    </row>
    <row r="57" spans="2:12" x14ac:dyDescent="0.25">
      <c r="B57" s="213"/>
      <c r="C57" s="189"/>
      <c r="D57" s="108" t="s">
        <v>136</v>
      </c>
      <c r="E57" s="109">
        <f>97.06+30.11</f>
        <v>127.17</v>
      </c>
      <c r="F57" s="186">
        <f>SUM(E57:E58)</f>
        <v>147.07</v>
      </c>
      <c r="G57" s="216"/>
      <c r="H57" s="81"/>
    </row>
    <row r="58" spans="2:12" ht="15.75" thickBot="1" x14ac:dyDescent="0.3">
      <c r="B58" s="214"/>
      <c r="C58" s="82"/>
      <c r="D58" s="110" t="s">
        <v>130</v>
      </c>
      <c r="E58" s="111">
        <f>19.9</f>
        <v>19.899999999999999</v>
      </c>
      <c r="F58" s="187"/>
      <c r="G58" s="217"/>
      <c r="H58" s="81"/>
      <c r="L58" s="27"/>
    </row>
    <row r="59" spans="2:12" x14ac:dyDescent="0.25">
      <c r="B59" s="179" t="s">
        <v>57</v>
      </c>
      <c r="C59" s="189"/>
      <c r="D59" s="47" t="s">
        <v>94</v>
      </c>
      <c r="E59" s="26">
        <f>9.3*2</f>
        <v>18.600000000000001</v>
      </c>
      <c r="F59" s="196"/>
      <c r="G59" s="182">
        <f>SUM(E59:E68)</f>
        <v>195.89</v>
      </c>
    </row>
    <row r="60" spans="2:12" x14ac:dyDescent="0.25">
      <c r="B60" s="180"/>
      <c r="C60" s="189"/>
      <c r="D60" s="18" t="s">
        <v>95</v>
      </c>
      <c r="E60" s="19">
        <v>1.18</v>
      </c>
      <c r="F60" s="196"/>
      <c r="G60" s="182"/>
    </row>
    <row r="61" spans="2:12" x14ac:dyDescent="0.25">
      <c r="B61" s="180"/>
      <c r="C61" s="189"/>
      <c r="D61" s="18" t="s">
        <v>91</v>
      </c>
      <c r="E61" s="19">
        <f>9.9+3.6</f>
        <v>13.5</v>
      </c>
      <c r="F61" s="196"/>
      <c r="G61" s="182"/>
    </row>
    <row r="62" spans="2:12" x14ac:dyDescent="0.25">
      <c r="B62" s="180"/>
      <c r="C62" s="189"/>
      <c r="D62" s="18" t="s">
        <v>128</v>
      </c>
      <c r="E62" s="19">
        <f>12.3+12.9+12.9+13.5+13.5+12.6</f>
        <v>77.699999999999989</v>
      </c>
      <c r="F62" s="196"/>
      <c r="G62" s="182"/>
    </row>
    <row r="63" spans="2:12" x14ac:dyDescent="0.25">
      <c r="B63" s="180"/>
      <c r="C63" s="189"/>
      <c r="D63" s="18" t="s">
        <v>111</v>
      </c>
      <c r="E63" s="19">
        <v>6</v>
      </c>
      <c r="F63" s="196"/>
      <c r="G63" s="182"/>
    </row>
    <row r="64" spans="2:12" x14ac:dyDescent="0.25">
      <c r="B64" s="180"/>
      <c r="C64" s="189"/>
      <c r="D64" s="18" t="s">
        <v>26</v>
      </c>
      <c r="E64" s="19">
        <f>6.65+6.5</f>
        <v>13.15</v>
      </c>
      <c r="F64" s="196"/>
      <c r="G64" s="182"/>
    </row>
    <row r="65" spans="2:7" x14ac:dyDescent="0.25">
      <c r="B65" s="180"/>
      <c r="C65" s="189"/>
      <c r="D65" s="60" t="s">
        <v>59</v>
      </c>
      <c r="E65" s="61">
        <f>11.6/10</f>
        <v>1.1599999999999999</v>
      </c>
      <c r="F65" s="196"/>
      <c r="G65" s="182"/>
    </row>
    <row r="66" spans="2:7" x14ac:dyDescent="0.25">
      <c r="B66" s="180"/>
      <c r="C66" s="189"/>
      <c r="D66" s="75" t="s">
        <v>83</v>
      </c>
      <c r="E66" s="76">
        <f>29.7+(12.9+7.9)</f>
        <v>50.5</v>
      </c>
      <c r="F66" s="196"/>
      <c r="G66" s="182"/>
    </row>
    <row r="67" spans="2:7" x14ac:dyDescent="0.25">
      <c r="B67" s="180"/>
      <c r="C67" s="189"/>
      <c r="D67" s="77" t="s">
        <v>106</v>
      </c>
      <c r="E67" s="78">
        <v>8.9</v>
      </c>
      <c r="F67" s="196"/>
      <c r="G67" s="182"/>
    </row>
    <row r="68" spans="2:7" ht="15.75" thickBot="1" x14ac:dyDescent="0.3">
      <c r="B68" s="181"/>
      <c r="C68" s="190"/>
      <c r="D68" s="79" t="s">
        <v>87</v>
      </c>
      <c r="E68" s="80">
        <v>5.2</v>
      </c>
      <c r="F68" s="197"/>
      <c r="G68" s="182"/>
    </row>
    <row r="69" spans="2:7" ht="19.5" thickBot="1" x14ac:dyDescent="0.3">
      <c r="G69" s="68">
        <f>SUM(G5:G68)</f>
        <v>2355.5083333333332</v>
      </c>
    </row>
    <row r="70" spans="2:7" x14ac:dyDescent="0.25">
      <c r="B70" s="22"/>
      <c r="C70" s="22"/>
      <c r="D70" s="69"/>
      <c r="F70" s="27"/>
    </row>
    <row r="72" spans="2:7" x14ac:dyDescent="0.25">
      <c r="G72" s="9"/>
    </row>
  </sheetData>
  <mergeCells count="28">
    <mergeCell ref="B2:G2"/>
    <mergeCell ref="C24:C28"/>
    <mergeCell ref="C14:C23"/>
    <mergeCell ref="G5:G28"/>
    <mergeCell ref="F48:F51"/>
    <mergeCell ref="F5:F8"/>
    <mergeCell ref="C9:C13"/>
    <mergeCell ref="F9:F13"/>
    <mergeCell ref="F14:F23"/>
    <mergeCell ref="B5:B28"/>
    <mergeCell ref="F35:F47"/>
    <mergeCell ref="B29:B51"/>
    <mergeCell ref="C29:C51"/>
    <mergeCell ref="B59:B68"/>
    <mergeCell ref="G59:G68"/>
    <mergeCell ref="C5:C8"/>
    <mergeCell ref="F52:F53"/>
    <mergeCell ref="F54:F56"/>
    <mergeCell ref="F57:F58"/>
    <mergeCell ref="C59:C68"/>
    <mergeCell ref="F24:F28"/>
    <mergeCell ref="G29:G51"/>
    <mergeCell ref="F29:F30"/>
    <mergeCell ref="F31:F34"/>
    <mergeCell ref="F59:F68"/>
    <mergeCell ref="C52:C57"/>
    <mergeCell ref="B52:B58"/>
    <mergeCell ref="G52:G5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Pièces neuves</vt:lpstr>
      <vt:lpstr>Consommable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2023-01-30T11:08:36Z</dcterms:modified>
</cp:coreProperties>
</file>